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2.xml" ContentType="application/inkml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ocuments\Brevet\Calculs excel\"/>
    </mc:Choice>
  </mc:AlternateContent>
  <xr:revisionPtr revIDLastSave="0" documentId="13_ncr:1_{AE6A5982-AEA3-4BF6-AEB6-80A1D7441FF6}" xr6:coauthVersionLast="47" xr6:coauthVersionMax="47" xr10:uidLastSave="{00000000-0000-0000-0000-000000000000}"/>
  <bookViews>
    <workbookView xWindow="-108" yWindow="-108" windowWidth="23256" windowHeight="12456" tabRatio="760" firstSheet="3" activeTab="7" xr2:uid="{00000000-000D-0000-FFFF-FFFF00000000}"/>
  </bookViews>
  <sheets>
    <sheet name="Convertisseur d'unité" sheetId="6" r:id="rId1"/>
    <sheet name="Visserie, résistance" sheetId="10" r:id="rId2"/>
    <sheet name="Puissance mécanique" sheetId="19" r:id="rId3"/>
    <sheet name="Géométrie (surface)" sheetId="12" r:id="rId4"/>
    <sheet name="Géométrie (volume)" sheetId="13" r:id="rId5"/>
    <sheet name="Trigonométrie" sheetId="3" r:id="rId6"/>
    <sheet name="Levier" sheetId="8" r:id="rId7"/>
    <sheet name="Levage " sheetId="14" r:id="rId8"/>
    <sheet name="Vitesse" sheetId="4" r:id="rId9"/>
    <sheet name="Moteur " sheetId="7" r:id="rId10"/>
    <sheet name="Embrayage" sheetId="17" r:id="rId11"/>
    <sheet name="Transmission" sheetId="5" r:id="rId12"/>
    <sheet name="Roues, pneus" sheetId="18" r:id="rId13"/>
    <sheet name="Pulvérisateur" sheetId="15" r:id="rId14"/>
    <sheet name="Densité de semis" sheetId="16" r:id="rId15"/>
    <sheet name="Rendement mécanique" sheetId="20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7" l="1"/>
  <c r="P17" i="7"/>
  <c r="E178" i="7"/>
  <c r="D9" i="5"/>
  <c r="F7" i="18"/>
  <c r="F154" i="5" l="1"/>
  <c r="G154" i="5"/>
  <c r="E109" i="5"/>
  <c r="R12" i="6"/>
  <c r="R13" i="6"/>
  <c r="R11" i="6"/>
  <c r="O12" i="6"/>
  <c r="O13" i="6"/>
  <c r="O11" i="6"/>
  <c r="F29" i="6"/>
  <c r="E19" i="19" l="1"/>
  <c r="D19" i="19"/>
  <c r="F17" i="19"/>
  <c r="E17" i="19"/>
  <c r="F18" i="19"/>
  <c r="D18" i="19"/>
  <c r="F13" i="19"/>
  <c r="F12" i="19"/>
  <c r="F10" i="19"/>
  <c r="F11" i="19"/>
  <c r="G9" i="19"/>
  <c r="F9" i="19"/>
  <c r="F8" i="19"/>
  <c r="G7" i="19"/>
  <c r="F7" i="19"/>
  <c r="I6" i="19"/>
  <c r="H6" i="19"/>
  <c r="G6" i="19"/>
  <c r="F6" i="19"/>
  <c r="C48" i="3"/>
  <c r="C47" i="3"/>
  <c r="C43" i="3"/>
  <c r="C36" i="3"/>
  <c r="C37" i="3"/>
  <c r="D56" i="3"/>
  <c r="G59" i="10"/>
  <c r="I59" i="10" s="1"/>
  <c r="H59" i="10"/>
  <c r="J59" i="10" s="1"/>
  <c r="G58" i="10"/>
  <c r="H58" i="10"/>
  <c r="I58" i="10"/>
  <c r="J58" i="10"/>
  <c r="G57" i="10"/>
  <c r="I57" i="10" s="1"/>
  <c r="H57" i="10"/>
  <c r="J57" i="10"/>
  <c r="G56" i="10"/>
  <c r="I56" i="10" s="1"/>
  <c r="H56" i="10"/>
  <c r="J56" i="10" s="1"/>
  <c r="H55" i="10"/>
  <c r="J55" i="10" s="1"/>
  <c r="G55" i="10"/>
  <c r="I55" i="10" s="1"/>
  <c r="H54" i="10"/>
  <c r="J54" i="10" s="1"/>
  <c r="G54" i="10"/>
  <c r="I54" i="10" s="1"/>
  <c r="H53" i="10"/>
  <c r="J53" i="10" s="1"/>
  <c r="G53" i="10"/>
  <c r="I53" i="10" s="1"/>
  <c r="H52" i="10"/>
  <c r="J52" i="10" s="1"/>
  <c r="G52" i="10"/>
  <c r="I52" i="10" s="1"/>
  <c r="H51" i="10"/>
  <c r="J51" i="10" s="1"/>
  <c r="G51" i="10"/>
  <c r="I51" i="10" s="1"/>
  <c r="H50" i="10"/>
  <c r="J50" i="10" s="1"/>
  <c r="G50" i="10"/>
  <c r="I50" i="10" s="1"/>
  <c r="H49" i="10"/>
  <c r="J49" i="10" s="1"/>
  <c r="G49" i="10"/>
  <c r="I49" i="10" s="1"/>
  <c r="H48" i="10"/>
  <c r="J48" i="10" s="1"/>
  <c r="G48" i="10"/>
  <c r="I48" i="10" s="1"/>
  <c r="H47" i="10"/>
  <c r="J47" i="10" s="1"/>
  <c r="G47" i="10"/>
  <c r="I47" i="10" s="1"/>
  <c r="H46" i="10"/>
  <c r="J46" i="10" s="1"/>
  <c r="G46" i="10"/>
  <c r="I46" i="10" s="1"/>
  <c r="H45" i="10"/>
  <c r="J45" i="10" s="1"/>
  <c r="G45" i="10"/>
  <c r="I45" i="10" s="1"/>
  <c r="H44" i="10"/>
  <c r="J44" i="10" s="1"/>
  <c r="G44" i="10"/>
  <c r="I44" i="10" s="1"/>
  <c r="H43" i="10"/>
  <c r="J43" i="10" s="1"/>
  <c r="G43" i="10"/>
  <c r="I43" i="10" s="1"/>
  <c r="H42" i="10"/>
  <c r="J42" i="10" s="1"/>
  <c r="G42" i="10"/>
  <c r="I42" i="10" s="1"/>
  <c r="H41" i="10"/>
  <c r="J41" i="10" s="1"/>
  <c r="G41" i="10"/>
  <c r="I41" i="10" s="1"/>
  <c r="E20" i="14"/>
  <c r="G10" i="10"/>
  <c r="I10" i="10" s="1"/>
  <c r="G11" i="10"/>
  <c r="I11" i="10" s="1"/>
  <c r="G12" i="10"/>
  <c r="I12" i="10" s="1"/>
  <c r="G13" i="10"/>
  <c r="I13" i="10" s="1"/>
  <c r="G14" i="10"/>
  <c r="I14" i="10" s="1"/>
  <c r="G15" i="10"/>
  <c r="I15" i="10" s="1"/>
  <c r="G16" i="10"/>
  <c r="I16" i="10" s="1"/>
  <c r="G17" i="10"/>
  <c r="I17" i="10" s="1"/>
  <c r="G18" i="10"/>
  <c r="I18" i="10" s="1"/>
  <c r="G19" i="10"/>
  <c r="I19" i="10" s="1"/>
  <c r="G20" i="10"/>
  <c r="I20" i="10" s="1"/>
  <c r="G21" i="10"/>
  <c r="I21" i="10" s="1"/>
  <c r="G22" i="10"/>
  <c r="I22" i="10" s="1"/>
  <c r="G23" i="10"/>
  <c r="I23" i="10" s="1"/>
  <c r="G24" i="10"/>
  <c r="I24" i="10" s="1"/>
  <c r="G25" i="10"/>
  <c r="I25" i="10" s="1"/>
  <c r="G26" i="10"/>
  <c r="I26" i="10" s="1"/>
  <c r="G27" i="10"/>
  <c r="I27" i="10" s="1"/>
  <c r="G28" i="10"/>
  <c r="I28" i="10" s="1"/>
  <c r="G29" i="10"/>
  <c r="I29" i="10" s="1"/>
  <c r="G30" i="10"/>
  <c r="I30" i="10" s="1"/>
  <c r="G9" i="10"/>
  <c r="I9" i="10" s="1"/>
  <c r="F10" i="10"/>
  <c r="H10" i="10" s="1"/>
  <c r="F11" i="10"/>
  <c r="H11" i="10" s="1"/>
  <c r="F12" i="10"/>
  <c r="H12" i="10" s="1"/>
  <c r="F13" i="10"/>
  <c r="H13" i="10" s="1"/>
  <c r="F14" i="10"/>
  <c r="H14" i="10" s="1"/>
  <c r="F15" i="10"/>
  <c r="H15" i="10" s="1"/>
  <c r="F16" i="10"/>
  <c r="H16" i="10" s="1"/>
  <c r="F17" i="10"/>
  <c r="H17" i="10" s="1"/>
  <c r="F18" i="10"/>
  <c r="H18" i="10" s="1"/>
  <c r="F19" i="10"/>
  <c r="H19" i="10" s="1"/>
  <c r="F20" i="10"/>
  <c r="H20" i="10" s="1"/>
  <c r="F21" i="10"/>
  <c r="H21" i="10" s="1"/>
  <c r="F22" i="10"/>
  <c r="H22" i="10" s="1"/>
  <c r="F23" i="10"/>
  <c r="H23" i="10" s="1"/>
  <c r="F24" i="10"/>
  <c r="H24" i="10" s="1"/>
  <c r="F25" i="10"/>
  <c r="H25" i="10" s="1"/>
  <c r="F26" i="10"/>
  <c r="H26" i="10" s="1"/>
  <c r="F27" i="10"/>
  <c r="H27" i="10" s="1"/>
  <c r="F28" i="10"/>
  <c r="H28" i="10" s="1"/>
  <c r="F29" i="10"/>
  <c r="H29" i="10" s="1"/>
  <c r="F30" i="10"/>
  <c r="H30" i="10" s="1"/>
  <c r="F9" i="10"/>
  <c r="H9" i="10" s="1"/>
  <c r="C7" i="16"/>
  <c r="F49" i="18" l="1"/>
  <c r="F42" i="18"/>
  <c r="F41" i="18"/>
  <c r="F40" i="18"/>
  <c r="F32" i="18"/>
  <c r="F31" i="18"/>
  <c r="F26" i="18"/>
  <c r="F25" i="18"/>
  <c r="F24" i="18"/>
  <c r="F18" i="18"/>
  <c r="F17" i="18"/>
  <c r="F16" i="18"/>
  <c r="F14" i="18"/>
  <c r="F8" i="18"/>
  <c r="E234" i="5"/>
  <c r="E233" i="5"/>
  <c r="E232" i="5"/>
  <c r="E231" i="5"/>
  <c r="F222" i="5"/>
  <c r="F223" i="5"/>
  <c r="G220" i="5"/>
  <c r="G221" i="5"/>
  <c r="F221" i="5"/>
  <c r="F220" i="5"/>
  <c r="E219" i="5"/>
  <c r="E218" i="5"/>
  <c r="E217" i="5"/>
  <c r="G205" i="5"/>
  <c r="F205" i="5"/>
  <c r="F204" i="5"/>
  <c r="F202" i="5"/>
  <c r="F201" i="5"/>
  <c r="F199" i="5"/>
  <c r="E200" i="5"/>
  <c r="F198" i="5"/>
  <c r="E199" i="5"/>
  <c r="E198" i="5"/>
  <c r="F159" i="7"/>
  <c r="F158" i="7"/>
  <c r="F157" i="7"/>
  <c r="F170" i="7"/>
  <c r="F169" i="7"/>
  <c r="F168" i="7"/>
  <c r="H135" i="7" l="1"/>
  <c r="H136" i="7"/>
  <c r="H137" i="7"/>
  <c r="G132" i="7"/>
  <c r="G136" i="7"/>
  <c r="F133" i="7"/>
  <c r="F136" i="7"/>
  <c r="G137" i="7"/>
  <c r="G135" i="7"/>
  <c r="F134" i="7"/>
  <c r="F135" i="7"/>
  <c r="F137" i="7"/>
  <c r="F132" i="7"/>
  <c r="F33" i="7"/>
  <c r="F32" i="7"/>
  <c r="F31" i="7"/>
  <c r="F119" i="7"/>
  <c r="G121" i="7"/>
  <c r="F121" i="7"/>
  <c r="F118" i="7"/>
  <c r="F120" i="7"/>
  <c r="H95" i="7"/>
  <c r="G95" i="7"/>
  <c r="F102" i="7"/>
  <c r="F101" i="7"/>
  <c r="F100" i="7"/>
  <c r="F97" i="7"/>
  <c r="F99" i="7"/>
  <c r="F98" i="7"/>
  <c r="F96" i="7"/>
  <c r="F94" i="7"/>
  <c r="F95" i="7"/>
  <c r="F82" i="7"/>
  <c r="F81" i="7"/>
  <c r="G79" i="7"/>
  <c r="F80" i="7"/>
  <c r="F79" i="7"/>
  <c r="F71" i="7"/>
  <c r="F68" i="7"/>
  <c r="F72" i="7"/>
  <c r="F70" i="7"/>
  <c r="F69" i="7"/>
  <c r="F66" i="7"/>
  <c r="F54" i="7"/>
  <c r="F53" i="7"/>
  <c r="F52" i="7"/>
  <c r="H45" i="7"/>
  <c r="G45" i="7"/>
  <c r="F45" i="7"/>
  <c r="G43" i="7"/>
  <c r="F43" i="7"/>
  <c r="F42" i="7"/>
  <c r="F41" i="7"/>
  <c r="F40" i="7"/>
  <c r="E162" i="5"/>
  <c r="E161" i="5"/>
  <c r="E148" i="5"/>
  <c r="F150" i="5"/>
  <c r="E149" i="5"/>
  <c r="F149" i="5"/>
  <c r="E150" i="5"/>
  <c r="E151" i="5"/>
  <c r="E152" i="5"/>
  <c r="E153" i="5"/>
  <c r="E154" i="5"/>
  <c r="E155" i="5"/>
  <c r="E157" i="5"/>
  <c r="E147" i="5"/>
  <c r="E160" i="5"/>
  <c r="E159" i="5"/>
  <c r="E158" i="5"/>
  <c r="E156" i="5"/>
  <c r="G18" i="7"/>
  <c r="E23" i="14"/>
  <c r="E22" i="14"/>
  <c r="E21" i="14"/>
  <c r="E10" i="14"/>
  <c r="E9" i="14"/>
  <c r="E8" i="14"/>
  <c r="E7" i="14"/>
  <c r="E115" i="5"/>
  <c r="E114" i="5"/>
  <c r="H113" i="5"/>
  <c r="E107" i="5"/>
  <c r="E106" i="5"/>
  <c r="G113" i="5"/>
  <c r="F113" i="5"/>
  <c r="E113" i="5"/>
  <c r="E108" i="5"/>
  <c r="E105" i="5"/>
  <c r="F68" i="5"/>
  <c r="F72" i="5"/>
  <c r="E72" i="5"/>
  <c r="F71" i="5"/>
  <c r="E71" i="5"/>
  <c r="F70" i="5"/>
  <c r="E70" i="5"/>
  <c r="F69" i="5"/>
  <c r="E69" i="5"/>
  <c r="E68" i="5"/>
  <c r="E56" i="5"/>
  <c r="G39" i="5"/>
  <c r="F39" i="5"/>
  <c r="E35" i="5"/>
  <c r="E34" i="5"/>
  <c r="E31" i="5"/>
  <c r="E39" i="5"/>
  <c r="F9" i="5"/>
  <c r="F8" i="5"/>
  <c r="F7" i="5"/>
  <c r="F6" i="5"/>
  <c r="F10" i="5"/>
  <c r="E10" i="5"/>
  <c r="E9" i="5"/>
  <c r="E8" i="5"/>
  <c r="E7" i="5"/>
  <c r="E6" i="5"/>
  <c r="H93" i="12"/>
  <c r="H68" i="13"/>
  <c r="H66" i="13"/>
  <c r="J67" i="13"/>
  <c r="H67" i="13"/>
  <c r="I67" i="13"/>
  <c r="I56" i="13"/>
  <c r="H56" i="13"/>
  <c r="I55" i="13"/>
  <c r="H55" i="13"/>
  <c r="H59" i="13"/>
  <c r="H58" i="13"/>
  <c r="H57" i="13"/>
  <c r="I58" i="13"/>
  <c r="H41" i="13"/>
  <c r="G41" i="13"/>
  <c r="G39" i="13"/>
  <c r="G38" i="13"/>
  <c r="H40" i="13"/>
  <c r="G40" i="13"/>
  <c r="G24" i="13" l="1"/>
  <c r="G27" i="13"/>
  <c r="G28" i="13"/>
  <c r="G23" i="13"/>
  <c r="G25" i="13"/>
  <c r="H26" i="13"/>
  <c r="G26" i="13"/>
  <c r="G11" i="13"/>
  <c r="H10" i="13"/>
  <c r="G10" i="13"/>
  <c r="G12" i="13"/>
  <c r="H12" i="13"/>
  <c r="G13" i="13"/>
  <c r="F12" i="12"/>
  <c r="F11" i="12"/>
  <c r="F10" i="12"/>
  <c r="H9" i="12"/>
  <c r="G9" i="12"/>
  <c r="F9" i="12"/>
  <c r="H193" i="12"/>
  <c r="G212" i="12"/>
  <c r="H211" i="12"/>
  <c r="G211" i="12"/>
  <c r="G209" i="12"/>
  <c r="G213" i="12"/>
  <c r="I208" i="12"/>
  <c r="I189" i="12"/>
  <c r="G194" i="12"/>
  <c r="H208" i="12"/>
  <c r="G208" i="12"/>
  <c r="I207" i="12"/>
  <c r="H207" i="12"/>
  <c r="G207" i="12"/>
  <c r="I210" i="12"/>
  <c r="H210" i="12"/>
  <c r="G210" i="12"/>
  <c r="G193" i="12"/>
  <c r="H192" i="12"/>
  <c r="G192" i="12"/>
  <c r="G190" i="12"/>
  <c r="H189" i="12"/>
  <c r="G189" i="12"/>
  <c r="I188" i="12"/>
  <c r="H188" i="12"/>
  <c r="G188" i="12"/>
  <c r="I191" i="12"/>
  <c r="H191" i="12"/>
  <c r="G191" i="12"/>
  <c r="H175" i="12"/>
  <c r="G175" i="12"/>
  <c r="G173" i="12"/>
  <c r="H172" i="12"/>
  <c r="G172" i="12"/>
  <c r="H176" i="12"/>
  <c r="G176" i="12"/>
  <c r="I171" i="12"/>
  <c r="H171" i="12"/>
  <c r="G171" i="12"/>
  <c r="I174" i="12"/>
  <c r="H174" i="12"/>
  <c r="G174" i="12"/>
  <c r="G152" i="12"/>
  <c r="H151" i="12"/>
  <c r="H150" i="12"/>
  <c r="I153" i="12"/>
  <c r="H154" i="12"/>
  <c r="G154" i="12"/>
  <c r="G151" i="12"/>
  <c r="H153" i="12" s="1"/>
  <c r="G150" i="12"/>
  <c r="G153" i="12" s="1"/>
  <c r="H79" i="12"/>
  <c r="H78" i="12"/>
  <c r="I77" i="12"/>
  <c r="G54" i="12"/>
  <c r="G55" i="12"/>
  <c r="G59" i="12"/>
  <c r="G58" i="12"/>
  <c r="G44" i="12"/>
  <c r="H43" i="12"/>
  <c r="G43" i="12"/>
  <c r="G42" i="12"/>
  <c r="H47" i="12"/>
  <c r="G49" i="12"/>
  <c r="G48" i="12"/>
  <c r="G47" i="12"/>
  <c r="F31" i="12"/>
  <c r="G32" i="12"/>
  <c r="F32" i="12"/>
  <c r="F33" i="12"/>
  <c r="F35" i="12"/>
  <c r="F34" i="12"/>
  <c r="G21" i="12"/>
  <c r="G20" i="12"/>
  <c r="F21" i="12"/>
  <c r="F20" i="12"/>
  <c r="F24" i="12"/>
  <c r="F23" i="12"/>
  <c r="F22" i="12"/>
  <c r="G90" i="12"/>
  <c r="G91" i="12"/>
  <c r="G93" i="12"/>
  <c r="H92" i="12"/>
  <c r="G134" i="12"/>
  <c r="G133" i="12"/>
  <c r="G132" i="12"/>
  <c r="G131" i="12"/>
  <c r="I118" i="12"/>
  <c r="H118" i="12"/>
  <c r="I117" i="12"/>
  <c r="H117" i="12"/>
  <c r="H120" i="12"/>
  <c r="H121" i="12"/>
  <c r="H119" i="12"/>
  <c r="J102" i="12"/>
  <c r="H106" i="12"/>
  <c r="H105" i="12"/>
  <c r="H104" i="12"/>
  <c r="H102" i="12"/>
  <c r="I102" i="12"/>
  <c r="G92" i="12"/>
  <c r="H74" i="12"/>
  <c r="H77" i="12"/>
  <c r="H75" i="12"/>
  <c r="H76" i="12"/>
  <c r="E30" i="6" l="1"/>
  <c r="L19" i="6" l="1"/>
  <c r="F39" i="6"/>
  <c r="E40" i="6"/>
  <c r="D6" i="3"/>
  <c r="F78" i="6"/>
  <c r="G77" i="6"/>
  <c r="F76" i="6"/>
  <c r="E78" i="6"/>
  <c r="G76" i="6"/>
  <c r="E77" i="6"/>
  <c r="G49" i="3"/>
  <c r="C41" i="3"/>
  <c r="G35" i="3"/>
  <c r="F11" i="6"/>
  <c r="S102" i="8" l="1"/>
  <c r="M102" i="8"/>
  <c r="S93" i="8"/>
  <c r="S84" i="8"/>
  <c r="M93" i="8"/>
  <c r="M84" i="8"/>
  <c r="M67" i="8"/>
  <c r="S58" i="8"/>
  <c r="M58" i="8"/>
  <c r="S20" i="8"/>
  <c r="S11" i="8"/>
  <c r="S38" i="8"/>
  <c r="S29" i="8"/>
  <c r="M29" i="8"/>
  <c r="M11" i="8"/>
  <c r="M38" i="8"/>
  <c r="M20" i="8"/>
  <c r="G27" i="7" l="1"/>
  <c r="G9" i="7"/>
  <c r="G72" i="6"/>
  <c r="F72" i="6"/>
  <c r="E72" i="6"/>
  <c r="H71" i="6"/>
  <c r="F71" i="6"/>
  <c r="E71" i="6"/>
  <c r="H70" i="6"/>
  <c r="G70" i="6"/>
  <c r="E70" i="6"/>
  <c r="H69" i="6"/>
  <c r="G69" i="6"/>
  <c r="F69" i="6"/>
  <c r="G64" i="6"/>
  <c r="F64" i="6"/>
  <c r="E64" i="6"/>
  <c r="H63" i="6"/>
  <c r="F63" i="6"/>
  <c r="E63" i="6"/>
  <c r="H62" i="6"/>
  <c r="G62" i="6"/>
  <c r="E62" i="6"/>
  <c r="H61" i="6"/>
  <c r="G61" i="6"/>
  <c r="F61" i="6"/>
  <c r="F57" i="6"/>
  <c r="E57" i="6"/>
  <c r="G56" i="6"/>
  <c r="E56" i="6"/>
  <c r="G55" i="6"/>
  <c r="F55" i="6"/>
  <c r="F52" i="6"/>
  <c r="E52" i="6"/>
  <c r="G51" i="6"/>
  <c r="E51" i="6"/>
  <c r="G50" i="6"/>
  <c r="F50" i="6"/>
  <c r="F47" i="6"/>
  <c r="E47" i="6"/>
  <c r="G46" i="6"/>
  <c r="E46" i="6"/>
  <c r="G45" i="6"/>
  <c r="F45" i="6"/>
  <c r="J24" i="6"/>
  <c r="I24" i="6"/>
  <c r="H24" i="6"/>
  <c r="G24" i="6"/>
  <c r="F24" i="6"/>
  <c r="E24" i="6"/>
  <c r="J23" i="6"/>
  <c r="I23" i="6"/>
  <c r="H23" i="6"/>
  <c r="G23" i="6"/>
  <c r="F23" i="6"/>
  <c r="E23" i="6"/>
  <c r="L22" i="6"/>
  <c r="K22" i="6"/>
  <c r="I22" i="6"/>
  <c r="H22" i="6"/>
  <c r="G22" i="6"/>
  <c r="F22" i="6"/>
  <c r="E22" i="6"/>
  <c r="L21" i="6"/>
  <c r="K21" i="6"/>
  <c r="J21" i="6"/>
  <c r="H21" i="6"/>
  <c r="G21" i="6"/>
  <c r="F21" i="6"/>
  <c r="E21" i="6"/>
  <c r="L20" i="6"/>
  <c r="K20" i="6"/>
  <c r="J20" i="6"/>
  <c r="I20" i="6"/>
  <c r="G20" i="6"/>
  <c r="F20" i="6"/>
  <c r="E20" i="6"/>
  <c r="K19" i="6"/>
  <c r="J19" i="6"/>
  <c r="I19" i="6"/>
  <c r="H19" i="6"/>
  <c r="F19" i="6"/>
  <c r="E19" i="6"/>
  <c r="L18" i="6"/>
  <c r="K18" i="6"/>
  <c r="J18" i="6"/>
  <c r="I18" i="6"/>
  <c r="H18" i="6"/>
  <c r="G18" i="6"/>
  <c r="E18" i="6"/>
  <c r="L17" i="6"/>
  <c r="K17" i="6"/>
  <c r="J17" i="6"/>
  <c r="I17" i="6"/>
  <c r="H17" i="6"/>
  <c r="G17" i="6"/>
  <c r="F17" i="6"/>
  <c r="G14" i="6"/>
  <c r="F14" i="6"/>
  <c r="E14" i="6"/>
  <c r="H13" i="6"/>
  <c r="F13" i="6"/>
  <c r="E13" i="6"/>
  <c r="H12" i="6"/>
  <c r="G12" i="6"/>
  <c r="E12" i="6"/>
  <c r="H11" i="6"/>
  <c r="G11" i="6"/>
  <c r="D19" i="4"/>
  <c r="E18" i="4"/>
  <c r="F8" i="4"/>
  <c r="D6" i="4"/>
  <c r="E7" i="4"/>
  <c r="P104" i="3"/>
  <c r="P99" i="3"/>
  <c r="P94" i="3"/>
  <c r="G42" i="3"/>
</calcChain>
</file>

<file path=xl/sharedStrings.xml><?xml version="1.0" encoding="utf-8"?>
<sst xmlns="http://schemas.openxmlformats.org/spreadsheetml/2006/main" count="968" uniqueCount="471">
  <si>
    <t>Puissance</t>
  </si>
  <si>
    <t>Convertisseur d'unité</t>
  </si>
  <si>
    <t>Pression</t>
  </si>
  <si>
    <t>bar</t>
  </si>
  <si>
    <t>Force</t>
  </si>
  <si>
    <t>Surface</t>
  </si>
  <si>
    <t>Pa</t>
  </si>
  <si>
    <t>N</t>
  </si>
  <si>
    <t>Temps</t>
  </si>
  <si>
    <t>s</t>
  </si>
  <si>
    <t>W</t>
  </si>
  <si>
    <t>KW</t>
  </si>
  <si>
    <t>CV</t>
  </si>
  <si>
    <t>min</t>
  </si>
  <si>
    <t>heure</t>
  </si>
  <si>
    <t>cm²</t>
  </si>
  <si>
    <t>dm²</t>
  </si>
  <si>
    <t>m²</t>
  </si>
  <si>
    <t>Vitesse</t>
  </si>
  <si>
    <t>m/s</t>
  </si>
  <si>
    <t>Débit</t>
  </si>
  <si>
    <t>Volume</t>
  </si>
  <si>
    <t>hPa</t>
  </si>
  <si>
    <t>kPa</t>
  </si>
  <si>
    <t>mbar</t>
  </si>
  <si>
    <t>mm²</t>
  </si>
  <si>
    <t>daN/cm²</t>
  </si>
  <si>
    <t>dm³/min</t>
  </si>
  <si>
    <t>dm³</t>
  </si>
  <si>
    <t>m³</t>
  </si>
  <si>
    <t>mm³</t>
  </si>
  <si>
    <t>cm³</t>
  </si>
  <si>
    <t>m/min</t>
  </si>
  <si>
    <t>km/h</t>
  </si>
  <si>
    <t>l/minute</t>
  </si>
  <si>
    <t>PSI</t>
  </si>
  <si>
    <r>
      <t>mm</t>
    </r>
    <r>
      <rPr>
        <sz val="11"/>
        <color theme="1"/>
        <rFont val="Calibri"/>
        <family val="2"/>
        <scheme val="minor"/>
      </rPr>
      <t>²</t>
    </r>
  </si>
  <si>
    <t>l/min</t>
  </si>
  <si>
    <t>m³/h</t>
  </si>
  <si>
    <t>cm³/min</t>
  </si>
  <si>
    <t>a</t>
  </si>
  <si>
    <t>b</t>
  </si>
  <si>
    <t>c</t>
  </si>
  <si>
    <t>Colonne1</t>
  </si>
  <si>
    <t>Colonne2</t>
  </si>
  <si>
    <t>Colonne3</t>
  </si>
  <si>
    <t>Colonne4</t>
  </si>
  <si>
    <t>Donnée recherchée</t>
  </si>
  <si>
    <t>Données connues</t>
  </si>
  <si>
    <t xml:space="preserve"> </t>
  </si>
  <si>
    <t>opposé</t>
  </si>
  <si>
    <t>hypoténuse</t>
  </si>
  <si>
    <t>=</t>
  </si>
  <si>
    <r>
      <rPr>
        <b/>
        <sz val="11"/>
        <color theme="1"/>
        <rFont val="Calibri"/>
        <family val="2"/>
        <scheme val="minor"/>
      </rPr>
      <t>sinus</t>
    </r>
    <r>
      <rPr>
        <sz val="11"/>
        <color theme="1"/>
        <rFont val="Calibri"/>
        <family val="2"/>
        <scheme val="minor"/>
      </rPr>
      <t xml:space="preserve"> =</t>
    </r>
  </si>
  <si>
    <t>Données recherchées</t>
  </si>
  <si>
    <t>adjacent</t>
  </si>
  <si>
    <t>---------------</t>
  </si>
  <si>
    <r>
      <rPr>
        <b/>
        <sz val="11"/>
        <color theme="1"/>
        <rFont val="Calibri"/>
        <family val="2"/>
        <scheme val="minor"/>
      </rPr>
      <t>cosinus</t>
    </r>
    <r>
      <rPr>
        <sz val="11"/>
        <color theme="1"/>
        <rFont val="Calibri"/>
        <family val="2"/>
        <scheme val="minor"/>
      </rPr>
      <t xml:space="preserve"> =</t>
    </r>
  </si>
  <si>
    <r>
      <rPr>
        <b/>
        <sz val="11"/>
        <color theme="1"/>
        <rFont val="Calibri"/>
        <family val="2"/>
        <scheme val="minor"/>
      </rPr>
      <t>tangeante</t>
    </r>
    <r>
      <rPr>
        <sz val="11"/>
        <color theme="1"/>
        <rFont val="Calibri"/>
        <family val="2"/>
        <scheme val="minor"/>
      </rPr>
      <t xml:space="preserve"> =</t>
    </r>
  </si>
  <si>
    <t>Vitesse (m/s)</t>
  </si>
  <si>
    <t>Distance (m)</t>
  </si>
  <si>
    <t>Temps (s)</t>
  </si>
  <si>
    <t>Convertiseur de vitesse</t>
  </si>
  <si>
    <t>Calcul de vitesse</t>
  </si>
  <si>
    <t>Couple</t>
  </si>
  <si>
    <t>Nm</t>
  </si>
  <si>
    <t>Régime</t>
  </si>
  <si>
    <t>tr/min</t>
  </si>
  <si>
    <t xml:space="preserve">Constante </t>
  </si>
  <si>
    <r>
      <t>Puissance</t>
    </r>
    <r>
      <rPr>
        <sz val="9"/>
        <color theme="1"/>
        <rFont val="Calibri"/>
        <family val="2"/>
        <scheme val="minor"/>
      </rPr>
      <t xml:space="preserve"> -&gt; (couple x régime) / 9550</t>
    </r>
  </si>
  <si>
    <t>kW</t>
  </si>
  <si>
    <t>Constante</t>
  </si>
  <si>
    <r>
      <t>Couple</t>
    </r>
    <r>
      <rPr>
        <sz val="9"/>
        <color theme="1"/>
        <rFont val="Calibri"/>
        <family val="2"/>
        <scheme val="minor"/>
      </rPr>
      <t xml:space="preserve"> -&gt; (Puissance x 9550) / régime</t>
    </r>
  </si>
  <si>
    <r>
      <t>Régime</t>
    </r>
    <r>
      <rPr>
        <sz val="9"/>
        <color theme="1"/>
        <rFont val="Calibri"/>
        <family val="2"/>
        <scheme val="minor"/>
      </rPr>
      <t xml:space="preserve"> -&gt; (Puissance x 9550) / couple</t>
    </r>
  </si>
  <si>
    <t>Force F1</t>
  </si>
  <si>
    <t>Force F2</t>
  </si>
  <si>
    <t>Poulie fixe</t>
  </si>
  <si>
    <t>Nombre de poulie</t>
  </si>
  <si>
    <t>Poulie mobile</t>
  </si>
  <si>
    <t xml:space="preserve"> Course S1</t>
  </si>
  <si>
    <t xml:space="preserve"> Course S2</t>
  </si>
  <si>
    <t>Course S1</t>
  </si>
  <si>
    <t>m</t>
  </si>
  <si>
    <r>
      <t>F</t>
    </r>
    <r>
      <rPr>
        <b/>
        <sz val="9"/>
        <color theme="1"/>
        <rFont val="Calibri"/>
        <family val="2"/>
        <scheme val="minor"/>
      </rPr>
      <t>orce 1</t>
    </r>
    <r>
      <rPr>
        <sz val="9"/>
        <color theme="1"/>
        <rFont val="Calibri"/>
        <family val="2"/>
        <scheme val="minor"/>
      </rPr>
      <t>-&gt;F2</t>
    </r>
  </si>
  <si>
    <t>Course S2</t>
  </si>
  <si>
    <r>
      <rPr>
        <b/>
        <sz val="11"/>
        <color theme="1"/>
        <rFont val="Calibri"/>
        <family val="2"/>
        <scheme val="minor"/>
      </rPr>
      <t>Course S1</t>
    </r>
    <r>
      <rPr>
        <sz val="11"/>
        <color theme="1"/>
        <rFont val="Calibri"/>
        <family val="2"/>
        <scheme val="minor"/>
      </rPr>
      <t xml:space="preserve"> -</t>
    </r>
    <r>
      <rPr>
        <sz val="9"/>
        <color theme="1"/>
        <rFont val="Calibri"/>
        <family val="2"/>
        <scheme val="minor"/>
      </rPr>
      <t>&gt; coure S2</t>
    </r>
  </si>
  <si>
    <r>
      <t>Force 2</t>
    </r>
    <r>
      <rPr>
        <b/>
        <sz val="9"/>
        <color theme="1"/>
        <rFont val="Calibri"/>
        <family val="2"/>
        <scheme val="minor"/>
      </rPr>
      <t xml:space="preserve"> -</t>
    </r>
    <r>
      <rPr>
        <sz val="9"/>
        <color theme="1"/>
        <rFont val="Calibri"/>
        <family val="2"/>
        <scheme val="minor"/>
      </rPr>
      <t>&gt; F1</t>
    </r>
  </si>
  <si>
    <r>
      <rPr>
        <b/>
        <sz val="11"/>
        <color theme="1"/>
        <rFont val="Calibri"/>
        <family val="2"/>
        <scheme val="minor"/>
      </rPr>
      <t>Course S2</t>
    </r>
    <r>
      <rPr>
        <sz val="9"/>
        <color theme="1"/>
        <rFont val="Calibri"/>
        <family val="2"/>
        <scheme val="minor"/>
      </rPr>
      <t xml:space="preserve"> -&gt; coure S1</t>
    </r>
  </si>
  <si>
    <r>
      <t>F</t>
    </r>
    <r>
      <rPr>
        <b/>
        <sz val="9"/>
        <color theme="1"/>
        <rFont val="Calibri"/>
        <family val="2"/>
        <scheme val="minor"/>
      </rPr>
      <t xml:space="preserve">orce 2 </t>
    </r>
    <r>
      <rPr>
        <sz val="9"/>
        <color theme="1"/>
        <rFont val="Calibri"/>
        <family val="2"/>
        <scheme val="minor"/>
      </rPr>
      <t>-&gt; F1</t>
    </r>
    <r>
      <rPr>
        <sz val="11"/>
        <color theme="1"/>
        <rFont val="Calibri"/>
        <family val="2"/>
        <scheme val="minor"/>
      </rPr>
      <t>/nombre de poulie</t>
    </r>
  </si>
  <si>
    <r>
      <rPr>
        <b/>
        <sz val="11"/>
        <color theme="1"/>
        <rFont val="Calibri"/>
        <family val="2"/>
        <scheme val="minor"/>
      </rPr>
      <t>Course S1</t>
    </r>
    <r>
      <rPr>
        <sz val="11"/>
        <color theme="1"/>
        <rFont val="Calibri"/>
        <family val="2"/>
        <scheme val="minor"/>
      </rPr>
      <t xml:space="preserve"> -</t>
    </r>
    <r>
      <rPr>
        <sz val="9"/>
        <color theme="1"/>
        <rFont val="Calibri"/>
        <family val="2"/>
        <scheme val="minor"/>
      </rPr>
      <t>&gt; coure S2 / nombre de poulie</t>
    </r>
  </si>
  <si>
    <r>
      <rPr>
        <b/>
        <sz val="11"/>
        <color theme="1"/>
        <rFont val="Calibri"/>
        <family val="2"/>
        <scheme val="minor"/>
      </rPr>
      <t>Course S2</t>
    </r>
    <r>
      <rPr>
        <sz val="9"/>
        <color theme="1"/>
        <rFont val="Calibri"/>
        <family val="2"/>
        <scheme val="minor"/>
      </rPr>
      <t xml:space="preserve"> -&gt; coure S1</t>
    </r>
    <r>
      <rPr>
        <sz val="11"/>
        <color theme="1"/>
        <rFont val="Calibri"/>
        <family val="2"/>
        <scheme val="minor"/>
      </rPr>
      <t xml:space="preserve"> X nombre de poulie</t>
    </r>
  </si>
  <si>
    <r>
      <t xml:space="preserve">Force F1 </t>
    </r>
    <r>
      <rPr>
        <sz val="9"/>
        <color theme="1"/>
        <rFont val="Calibri"/>
        <family val="2"/>
        <scheme val="minor"/>
      </rPr>
      <t>-&gt; F2 X nombre de poulie</t>
    </r>
  </si>
  <si>
    <t>Bras de levier</t>
  </si>
  <si>
    <r>
      <rPr>
        <b/>
        <sz val="11"/>
        <color theme="1"/>
        <rFont val="Calibri"/>
        <family val="2"/>
        <scheme val="minor"/>
      </rPr>
      <t>Couple</t>
    </r>
    <r>
      <rPr>
        <sz val="9"/>
        <color theme="1"/>
        <rFont val="Calibri"/>
        <family val="2"/>
        <scheme val="minor"/>
      </rPr>
      <t xml:space="preserve"> -&gt; force X bras de levier</t>
    </r>
  </si>
  <si>
    <r>
      <rPr>
        <b/>
        <sz val="11"/>
        <color theme="1"/>
        <rFont val="Calibri"/>
        <family val="2"/>
        <scheme val="minor"/>
      </rPr>
      <t>Force</t>
    </r>
    <r>
      <rPr>
        <sz val="9"/>
        <color theme="1"/>
        <rFont val="Calibri"/>
        <family val="2"/>
        <scheme val="minor"/>
      </rPr>
      <t xml:space="preserve"> -&gt; Couple / bras de levier</t>
    </r>
  </si>
  <si>
    <r>
      <rPr>
        <b/>
        <sz val="11"/>
        <color theme="1"/>
        <rFont val="Calibri"/>
        <family val="2"/>
        <scheme val="minor"/>
      </rPr>
      <t>Bras de levier</t>
    </r>
    <r>
      <rPr>
        <sz val="9"/>
        <color theme="1"/>
        <rFont val="Calibri"/>
        <family val="2"/>
        <scheme val="minor"/>
      </rPr>
      <t>-&gt;couple/force</t>
    </r>
  </si>
  <si>
    <t>Moment de force; couple</t>
  </si>
  <si>
    <t>F1 x r1 = F2 x r2 + F3 x r3</t>
  </si>
  <si>
    <t>Bras de levier r1</t>
  </si>
  <si>
    <t>Bras de levier r2</t>
  </si>
  <si>
    <r>
      <rPr>
        <b/>
        <sz val="11"/>
        <color theme="1"/>
        <rFont val="Calibri"/>
        <family val="2"/>
        <scheme val="minor"/>
      </rPr>
      <t>Force F1</t>
    </r>
    <r>
      <rPr>
        <sz val="9"/>
        <color theme="1"/>
        <rFont val="Calibri"/>
        <family val="2"/>
        <scheme val="minor"/>
      </rPr>
      <t>-&gt; (F2 x r2)/r1</t>
    </r>
  </si>
  <si>
    <r>
      <rPr>
        <b/>
        <sz val="11"/>
        <color theme="1"/>
        <rFont val="Calibri"/>
        <family val="2"/>
        <scheme val="minor"/>
      </rPr>
      <t>Force F2</t>
    </r>
    <r>
      <rPr>
        <sz val="9"/>
        <color theme="1"/>
        <rFont val="Calibri"/>
        <family val="2"/>
        <scheme val="minor"/>
      </rPr>
      <t>-&gt; (F1 x r1)/r2</t>
    </r>
  </si>
  <si>
    <r>
      <rPr>
        <b/>
        <sz val="11"/>
        <color theme="1"/>
        <rFont val="Calibri"/>
        <family val="2"/>
        <scheme val="minor"/>
      </rPr>
      <t>Bras de levier r1</t>
    </r>
    <r>
      <rPr>
        <sz val="9"/>
        <color theme="1"/>
        <rFont val="Calibri"/>
        <family val="2"/>
        <scheme val="minor"/>
      </rPr>
      <t>-&gt; (F2 x r2)/F1</t>
    </r>
  </si>
  <si>
    <r>
      <rPr>
        <b/>
        <sz val="11"/>
        <color theme="1"/>
        <rFont val="Calibri"/>
        <family val="2"/>
        <scheme val="minor"/>
      </rPr>
      <t>Bras de levier r2</t>
    </r>
    <r>
      <rPr>
        <sz val="9"/>
        <color theme="1"/>
        <rFont val="Calibri"/>
        <family val="2"/>
        <scheme val="minor"/>
      </rPr>
      <t>-&gt; (F1 x r1)/F2</t>
    </r>
  </si>
  <si>
    <r>
      <rPr>
        <b/>
        <sz val="11"/>
        <color theme="1"/>
        <rFont val="Calibri"/>
        <family val="2"/>
        <scheme val="minor"/>
      </rPr>
      <t>Rapport  bras de levier</t>
    </r>
    <r>
      <rPr>
        <sz val="9"/>
        <color theme="1"/>
        <rFont val="Calibri"/>
        <family val="2"/>
        <scheme val="minor"/>
      </rPr>
      <t xml:space="preserve"> -&gt; r2 / r1</t>
    </r>
  </si>
  <si>
    <t>Rapport bras de levier</t>
  </si>
  <si>
    <t>Rapport de force</t>
  </si>
  <si>
    <r>
      <rPr>
        <b/>
        <sz val="11"/>
        <color theme="1"/>
        <rFont val="Calibri"/>
        <family val="2"/>
        <scheme val="minor"/>
      </rPr>
      <t>Rapport  des forces</t>
    </r>
    <r>
      <rPr>
        <sz val="9"/>
        <color theme="1"/>
        <rFont val="Calibri"/>
        <family val="2"/>
        <scheme val="minor"/>
      </rPr>
      <t xml:space="preserve"> -&gt; F1 / F2</t>
    </r>
  </si>
  <si>
    <t>Longueur</t>
  </si>
  <si>
    <t>X</t>
  </si>
  <si>
    <t>?</t>
  </si>
  <si>
    <r>
      <rPr>
        <b/>
        <sz val="12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</si>
  <si>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rPr>
        <b/>
        <sz val="12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</si>
  <si>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rPr>
        <b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=</t>
    </r>
  </si>
  <si>
    <t>Température</t>
  </si>
  <si>
    <t>°C</t>
  </si>
  <si>
    <t>°F</t>
  </si>
  <si>
    <t>K</t>
  </si>
  <si>
    <t>Calcul pente en %</t>
  </si>
  <si>
    <t xml:space="preserve">Base </t>
  </si>
  <si>
    <t>Hauteur (déniveler)</t>
  </si>
  <si>
    <t>Inclinaison en %</t>
  </si>
  <si>
    <t>%</t>
  </si>
  <si>
    <t>tr/sec</t>
  </si>
  <si>
    <t>g</t>
  </si>
  <si>
    <t>V</t>
  </si>
  <si>
    <t>kg</t>
  </si>
  <si>
    <t>Périmètre</t>
  </si>
  <si>
    <t>Diagonale</t>
  </si>
  <si>
    <t>Carré</t>
  </si>
  <si>
    <t>Rectangle</t>
  </si>
  <si>
    <t>Parallélogramme</t>
  </si>
  <si>
    <t>Trapèze</t>
  </si>
  <si>
    <t>Longueur moyenne</t>
  </si>
  <si>
    <t>Triangle</t>
  </si>
  <si>
    <t>Hexagone</t>
  </si>
  <si>
    <t>Largeur (S)</t>
  </si>
  <si>
    <t>Pointe à pointe (e)</t>
  </si>
  <si>
    <t>Longueur (l)</t>
  </si>
  <si>
    <t>Cercle</t>
  </si>
  <si>
    <t>Rayon</t>
  </si>
  <si>
    <t>Diamètre</t>
  </si>
  <si>
    <t>Circonférence</t>
  </si>
  <si>
    <t>Couronne</t>
  </si>
  <si>
    <t>Surface (A)</t>
  </si>
  <si>
    <t>Largeur (b)</t>
  </si>
  <si>
    <t>Diam ext (d1)</t>
  </si>
  <si>
    <t>Diam int (d2)</t>
  </si>
  <si>
    <t>Diam moyen</t>
  </si>
  <si>
    <t>Diamètre (d)</t>
  </si>
  <si>
    <t>Rayon ®</t>
  </si>
  <si>
    <r>
      <t>Longueur d'arc (l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</si>
  <si>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r>
      <t>Angle (</t>
    </r>
    <r>
      <rPr>
        <sz val="11"/>
        <color theme="1"/>
        <rFont val="Calibri"/>
        <family val="2"/>
      </rPr>
      <t>α)</t>
    </r>
  </si>
  <si>
    <t>Ellipse</t>
  </si>
  <si>
    <t>Diamètre 1</t>
  </si>
  <si>
    <t>Diamètre 2</t>
  </si>
  <si>
    <t>Diagonale (e)</t>
  </si>
  <si>
    <t>Longueur 1 (l1)</t>
  </si>
  <si>
    <t>Longueur1 (l1)</t>
  </si>
  <si>
    <t>Longueur 2 (l2)</t>
  </si>
  <si>
    <t>Longueur 3 (l3)</t>
  </si>
  <si>
    <t>Longueur 4 (l4)</t>
  </si>
  <si>
    <t>Longueur moyenne (lm)</t>
  </si>
  <si>
    <t>Diamètre (D)</t>
  </si>
  <si>
    <t>Circonférence (C)</t>
  </si>
  <si>
    <t>Octogone</t>
  </si>
  <si>
    <t>Ouverture clé (s)</t>
  </si>
  <si>
    <t>Cube</t>
  </si>
  <si>
    <t>Volume (V)</t>
  </si>
  <si>
    <t>Hauteur (h)</t>
  </si>
  <si>
    <t>Cylindre</t>
  </si>
  <si>
    <t>Cylindre creux</t>
  </si>
  <si>
    <t>Diamètre 1 (d1)</t>
  </si>
  <si>
    <t>Diamètre 2 (d2)</t>
  </si>
  <si>
    <t>Volume1 (V1)</t>
  </si>
  <si>
    <t>Volume2 (V2)</t>
  </si>
  <si>
    <t>Sphère</t>
  </si>
  <si>
    <t>Rayon (r)</t>
  </si>
  <si>
    <t>Prisme</t>
  </si>
  <si>
    <t>Secteur de disque</t>
  </si>
  <si>
    <t>Rapport simple</t>
  </si>
  <si>
    <t>Régime 1 (n1)</t>
  </si>
  <si>
    <t>Régime 2 (n2)</t>
  </si>
  <si>
    <t>Rendement (i)</t>
  </si>
  <si>
    <t>Rapport multiple</t>
  </si>
  <si>
    <t>Diamètre 3 (d3)</t>
  </si>
  <si>
    <t>Diamètre 4 (d4)</t>
  </si>
  <si>
    <t>Régime 3 (n3)</t>
  </si>
  <si>
    <t>Régime 4 (n4)</t>
  </si>
  <si>
    <t>Rendement 1 (i1)</t>
  </si>
  <si>
    <t>Rendement 2 (i2)</t>
  </si>
  <si>
    <t>Rendemenr 3 (i3)</t>
  </si>
  <si>
    <t>Rendement 4 (i4)</t>
  </si>
  <si>
    <t xml:space="preserve">Glissement </t>
  </si>
  <si>
    <r>
      <t>Glissement (</t>
    </r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scheme val="minor"/>
      </rPr>
      <t>)</t>
    </r>
  </si>
  <si>
    <t>Nb dents 1 (Z1)</t>
  </si>
  <si>
    <t>Nb dents 2 (Z2)</t>
  </si>
  <si>
    <t>Nb dents 3 (Z3)</t>
  </si>
  <si>
    <t>Nb dents 4 (Z4)</t>
  </si>
  <si>
    <t>Couple sortie (M2)</t>
  </si>
  <si>
    <t>Couple entrée (M1)</t>
  </si>
  <si>
    <r>
      <t>Rendement couple (</t>
    </r>
    <r>
      <rPr>
        <sz val="11"/>
        <color theme="1"/>
        <rFont val="Calibri"/>
        <family val="2"/>
      </rPr>
      <t>ɳ)</t>
    </r>
  </si>
  <si>
    <t>Rapport simple et vis sans fin</t>
  </si>
  <si>
    <t>Force 1 (F1)</t>
  </si>
  <si>
    <t>Force 2 (F2)</t>
  </si>
  <si>
    <t>Course 1 (S1)</t>
  </si>
  <si>
    <t>Course 2 (S2)</t>
  </si>
  <si>
    <t>Rapport de boîte de vitesses</t>
  </si>
  <si>
    <t>Couple sortie (MB)</t>
  </si>
  <si>
    <t>Couple moteur (MM)</t>
  </si>
  <si>
    <t>Rapport tot (i)</t>
  </si>
  <si>
    <t>Rapport 1 (i1)</t>
  </si>
  <si>
    <t>Rapport 2 (i2)</t>
  </si>
  <si>
    <t>Rapp. marche ar (ir)</t>
  </si>
  <si>
    <r>
      <t>Rendement B.V (</t>
    </r>
    <r>
      <rPr>
        <sz val="11"/>
        <color theme="1"/>
        <rFont val="Calibri"/>
        <family val="2"/>
      </rPr>
      <t>ɳ</t>
    </r>
    <r>
      <rPr>
        <sz val="13.3"/>
        <color theme="1"/>
        <rFont val="Calibri"/>
        <family val="2"/>
      </rPr>
      <t>)</t>
    </r>
  </si>
  <si>
    <t>Force périphérique (F)</t>
  </si>
  <si>
    <t>Couple (M)</t>
  </si>
  <si>
    <t>Nb dents 5 (Z5)</t>
  </si>
  <si>
    <t>Nb dents 6 (Z6)</t>
  </si>
  <si>
    <t>Nb dents 7 (Z7)</t>
  </si>
  <si>
    <t>Nb dents 8 (Z8)</t>
  </si>
  <si>
    <t>Nb dents 9 (Z9)</t>
  </si>
  <si>
    <t>Nb dents 10 (Z10)</t>
  </si>
  <si>
    <t>Rapport 3 (i3)</t>
  </si>
  <si>
    <t>Rapport 4 (i4)</t>
  </si>
  <si>
    <t>Régime marche ar (nr)</t>
  </si>
  <si>
    <t>Régime mot (nm)</t>
  </si>
  <si>
    <t>Régime sortie (ns)</t>
  </si>
  <si>
    <t>Cylindrée</t>
  </si>
  <si>
    <t>Course (s)</t>
  </si>
  <si>
    <t>Alésage (d)</t>
  </si>
  <si>
    <t>Nombre de cylindre (z)</t>
  </si>
  <si>
    <t>Cylindrée total (V)</t>
  </si>
  <si>
    <t>Cylindrée unitaire (Va)</t>
  </si>
  <si>
    <t>Surface piston (A)</t>
  </si>
  <si>
    <t>cm</t>
  </si>
  <si>
    <r>
      <t>cm</t>
    </r>
    <r>
      <rPr>
        <sz val="11"/>
        <color theme="1"/>
        <rFont val="Calibri"/>
        <family val="2"/>
      </rPr>
      <t>²</t>
    </r>
  </si>
  <si>
    <t>Rapport course / alésage</t>
  </si>
  <si>
    <r>
      <t>Rapport course / alésage (</t>
    </r>
    <r>
      <rPr>
        <sz val="11"/>
        <color theme="1"/>
        <rFont val="Calibri"/>
        <family val="2"/>
      </rPr>
      <t>α</t>
    </r>
    <r>
      <rPr>
        <sz val="10.9"/>
        <color theme="1"/>
        <rFont val="Calibri"/>
        <family val="2"/>
      </rPr>
      <t>)</t>
    </r>
  </si>
  <si>
    <t>mm</t>
  </si>
  <si>
    <t>Rapport volumétrique</t>
  </si>
  <si>
    <t>(cm³)</t>
  </si>
  <si>
    <t>Volume aspiré (unitaire) (Va)</t>
  </si>
  <si>
    <t>Volume chambre combustion (Vc)</t>
  </si>
  <si>
    <r>
      <t>Rapport volumétrique (</t>
    </r>
    <r>
      <rPr>
        <sz val="11"/>
        <color theme="1"/>
        <rFont val="Calibri"/>
        <family val="2"/>
      </rPr>
      <t>Ɛ</t>
    </r>
    <r>
      <rPr>
        <sz val="10.9"/>
        <color theme="1"/>
        <rFont val="Calibri"/>
        <family val="2"/>
      </rPr>
      <t>)</t>
    </r>
  </si>
  <si>
    <t>Variation de la hauteur (s')</t>
  </si>
  <si>
    <t>Nouveau rapport volumétrique (Ɛ2)</t>
  </si>
  <si>
    <t>Ancien rapport volumétrique (Ɛ1)</t>
  </si>
  <si>
    <t>Variation vol. chambre combustion (Vc2)</t>
  </si>
  <si>
    <t>Vitesse moyenne des pistons</t>
  </si>
  <si>
    <t>Vitesse moyenne du piston (Vm)</t>
  </si>
  <si>
    <t>Vitesse max du piston (Vmax)</t>
  </si>
  <si>
    <t>Course (S)</t>
  </si>
  <si>
    <t>Régime (n)</t>
  </si>
  <si>
    <t>1/min</t>
  </si>
  <si>
    <t>Directives pompe à traiter fourni aux cours</t>
  </si>
  <si>
    <t>Diagramme de distribution</t>
  </si>
  <si>
    <r>
      <rPr>
        <sz val="12"/>
        <color theme="1"/>
        <rFont val="Calibri"/>
        <family val="2"/>
      </rPr>
      <t>Longueur d'arc (ῑ</t>
    </r>
    <r>
      <rPr>
        <sz val="8"/>
        <color theme="1"/>
        <rFont val="Calibri"/>
        <family val="2"/>
      </rPr>
      <t>B</t>
    </r>
    <r>
      <rPr>
        <sz val="12"/>
        <color theme="1"/>
        <rFont val="Calibri"/>
        <family val="2"/>
      </rPr>
      <t>)</t>
    </r>
  </si>
  <si>
    <r>
      <t>Angle d'ouverture (</t>
    </r>
    <r>
      <rPr>
        <sz val="11"/>
        <color theme="1"/>
        <rFont val="Calibri"/>
        <family val="2"/>
      </rPr>
      <t>Ꟗ</t>
    </r>
    <r>
      <rPr>
        <sz val="11.55"/>
        <color theme="1"/>
        <rFont val="Calibri"/>
        <family val="2"/>
      </rPr>
      <t xml:space="preserve">) </t>
    </r>
    <r>
      <rPr>
        <sz val="11"/>
        <color theme="1"/>
        <rFont val="Calibri"/>
        <family val="2"/>
        <scheme val="minor"/>
      </rPr>
      <t>en°</t>
    </r>
  </si>
  <si>
    <t>Diamètre poulie ou volant  (d)</t>
  </si>
  <si>
    <t>°</t>
  </si>
  <si>
    <r>
      <t>Angle d'ouverture simultanee des soupapes (</t>
    </r>
    <r>
      <rPr>
        <sz val="10"/>
        <color theme="1"/>
        <rFont val="GreekC_IV50"/>
      </rPr>
      <t>g</t>
    </r>
    <r>
      <rPr>
        <sz val="10.5"/>
        <color theme="1"/>
        <rFont val="Calibri"/>
        <family val="2"/>
      </rPr>
      <t>)</t>
    </r>
  </si>
  <si>
    <t>Angle d'ouverture admission (ꟖA)</t>
  </si>
  <si>
    <t>Angle d'ouverture échappement (ꟖE)</t>
  </si>
  <si>
    <t>Temps d'ouverture soupape (pour un cycles) (t1)</t>
  </si>
  <si>
    <t>seconde</t>
  </si>
  <si>
    <t>Temps d'ouverture soupape (pour 1 minute) (t2)</t>
  </si>
  <si>
    <t>Retard fermeture adm. (RFA)</t>
  </si>
  <si>
    <t>Avance ouverture adm. (AOA)</t>
  </si>
  <si>
    <t>Avance ouverture éch. (AOE)</t>
  </si>
  <si>
    <t>Retard fermeture éch. (RFE)</t>
  </si>
  <si>
    <t>Diagramme pression/ volume</t>
  </si>
  <si>
    <t>Pression (p)</t>
  </si>
  <si>
    <t>Force sur le piston (F)</t>
  </si>
  <si>
    <t>daN</t>
  </si>
  <si>
    <t>Surface du piston (A)</t>
  </si>
  <si>
    <t xml:space="preserve">Couple et puissance </t>
  </si>
  <si>
    <t>Force tangentielle (FT)</t>
  </si>
  <si>
    <t>Vilebrequin (r)</t>
  </si>
  <si>
    <t>Puissance absorbée, indiquée, utile</t>
  </si>
  <si>
    <t>Rendement total (ɳtot)</t>
  </si>
  <si>
    <r>
      <t>Rendement mécanique (</t>
    </r>
    <r>
      <rPr>
        <sz val="11"/>
        <color theme="1"/>
        <rFont val="Calibri"/>
        <family val="2"/>
      </rPr>
      <t>ɳ</t>
    </r>
    <r>
      <rPr>
        <sz val="10.8"/>
        <color theme="1"/>
        <rFont val="Calibri"/>
        <family val="2"/>
      </rPr>
      <t>méc)</t>
    </r>
  </si>
  <si>
    <r>
      <t>Rendement thermique (</t>
    </r>
    <r>
      <rPr>
        <sz val="11"/>
        <color theme="1"/>
        <rFont val="Calibri"/>
        <family val="2"/>
      </rPr>
      <t>ɳ</t>
    </r>
    <r>
      <rPr>
        <sz val="10.8"/>
        <color theme="1"/>
        <rFont val="Calibri"/>
        <family val="2"/>
      </rPr>
      <t>therm)</t>
    </r>
  </si>
  <si>
    <t>Puissance absorbée [entrée moteur] (Pa)</t>
  </si>
  <si>
    <t>Puissance utile [sortie moteur] (Pu)</t>
  </si>
  <si>
    <r>
      <rPr>
        <sz val="10"/>
        <color theme="1"/>
        <rFont val="Calibri"/>
        <family val="2"/>
        <scheme val="minor"/>
      </rPr>
      <t>Puissance indiquée [avec pression moyenne]</t>
    </r>
    <r>
      <rPr>
        <sz val="11"/>
        <color theme="1"/>
        <rFont val="Calibri"/>
        <family val="2"/>
        <scheme val="minor"/>
      </rPr>
      <t xml:space="preserve"> (Pi)</t>
    </r>
  </si>
  <si>
    <t>Couple moteur (M)</t>
  </si>
  <si>
    <t>Régime moteur (n)</t>
  </si>
  <si>
    <t>Section d'un piston (A)</t>
  </si>
  <si>
    <t>Pression moyenne (Pm)</t>
  </si>
  <si>
    <t>J/kg</t>
  </si>
  <si>
    <t>sec</t>
  </si>
  <si>
    <t>Pouvoir calorifique (Hi)</t>
  </si>
  <si>
    <t>Temps d'essai (t)</t>
  </si>
  <si>
    <t>Masse de carburant (m)</t>
  </si>
  <si>
    <t>Rapport masse / puissance</t>
  </si>
  <si>
    <t>Masse (m)</t>
  </si>
  <si>
    <t>Puissance utile (Pu)</t>
  </si>
  <si>
    <t>Rapport masse / puissance (mp)</t>
  </si>
  <si>
    <t>kg/kW</t>
  </si>
  <si>
    <t xml:space="preserve">Puissance spécifique </t>
  </si>
  <si>
    <t>Puissance spécifique (Psp)</t>
  </si>
  <si>
    <t>kW/l</t>
  </si>
  <si>
    <t>Cylindré (V)</t>
  </si>
  <si>
    <t>litre</t>
  </si>
  <si>
    <t>Essieu</t>
  </si>
  <si>
    <t>Rapport couple conique</t>
  </si>
  <si>
    <t>Nb dents couronne</t>
  </si>
  <si>
    <t>Nb dents pignon attaque</t>
  </si>
  <si>
    <t>Régime pignon attaque</t>
  </si>
  <si>
    <t>Régime arbres de roue</t>
  </si>
  <si>
    <t>Couple pignon attaque</t>
  </si>
  <si>
    <t>Couple couronne</t>
  </si>
  <si>
    <t>Couple 1 arbre de roue</t>
  </si>
  <si>
    <t>Rapport transmission</t>
  </si>
  <si>
    <t>Rapport global (i)</t>
  </si>
  <si>
    <t>Rapport coule conique</t>
  </si>
  <si>
    <t>Rapport BV</t>
  </si>
  <si>
    <t xml:space="preserve">Régime moteur </t>
  </si>
  <si>
    <t>Régime arbre de roue</t>
  </si>
  <si>
    <t xml:space="preserve">Couple moteur </t>
  </si>
  <si>
    <r>
      <t xml:space="preserve">Couple </t>
    </r>
    <r>
      <rPr>
        <b/>
        <u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arbre de roue</t>
    </r>
  </si>
  <si>
    <t>Vitesse du véhicule</t>
  </si>
  <si>
    <t xml:space="preserve">Vitesse </t>
  </si>
  <si>
    <t>Régime moteur</t>
  </si>
  <si>
    <t>Rayon de roulement dyn</t>
  </si>
  <si>
    <t>Rapport global trans</t>
  </si>
  <si>
    <t>Km/h</t>
  </si>
  <si>
    <t xml:space="preserve">Roues et pneus </t>
  </si>
  <si>
    <t>Rayon dyn</t>
  </si>
  <si>
    <t xml:space="preserve">Circonférence </t>
  </si>
  <si>
    <t>rdyn</t>
  </si>
  <si>
    <t>Cr</t>
  </si>
  <si>
    <t>Diamètre théorique</t>
  </si>
  <si>
    <t>Diam. Extérieur</t>
  </si>
  <si>
    <t>de</t>
  </si>
  <si>
    <t>Diam. Jante</t>
  </si>
  <si>
    <t>"</t>
  </si>
  <si>
    <t xml:space="preserve">Largeur </t>
  </si>
  <si>
    <t>B</t>
  </si>
  <si>
    <t xml:space="preserve">Hauteur </t>
  </si>
  <si>
    <t>H</t>
  </si>
  <si>
    <t>Rapport série</t>
  </si>
  <si>
    <t>Q</t>
  </si>
  <si>
    <t>dj</t>
  </si>
  <si>
    <t>Développement</t>
  </si>
  <si>
    <t xml:space="preserve">Distance </t>
  </si>
  <si>
    <t>S</t>
  </si>
  <si>
    <t>CR</t>
  </si>
  <si>
    <t>NB tour de roue</t>
  </si>
  <si>
    <t>nr</t>
  </si>
  <si>
    <t>Glissement</t>
  </si>
  <si>
    <t>Glissement accé</t>
  </si>
  <si>
    <t>Glissement frein</t>
  </si>
  <si>
    <t>Vitesse circ roue</t>
  </si>
  <si>
    <t>Vitesse véhicule</t>
  </si>
  <si>
    <t>Vvhc</t>
  </si>
  <si>
    <t>λA</t>
  </si>
  <si>
    <t>λF</t>
  </si>
  <si>
    <t>Vcr</t>
  </si>
  <si>
    <t>Régime roue</t>
  </si>
  <si>
    <t>nR</t>
  </si>
  <si>
    <t>Résistance au roulement</t>
  </si>
  <si>
    <t>Résistance roul</t>
  </si>
  <si>
    <t>FR</t>
  </si>
  <si>
    <t>Force appui</t>
  </si>
  <si>
    <t>FN</t>
  </si>
  <si>
    <t>Coeff roulement</t>
  </si>
  <si>
    <t>f</t>
  </si>
  <si>
    <t>Masse du vhc</t>
  </si>
  <si>
    <t>Kg</t>
  </si>
  <si>
    <t>Force de pesanteur</t>
  </si>
  <si>
    <t>FG</t>
  </si>
  <si>
    <t>Distance parcouru</t>
  </si>
  <si>
    <t>Nb de grains/m2</t>
  </si>
  <si>
    <t>PMG</t>
  </si>
  <si>
    <t>Kg/ha</t>
  </si>
  <si>
    <t>kg/ha</t>
  </si>
  <si>
    <t xml:space="preserve">Densité de semis </t>
  </si>
  <si>
    <t>m2</t>
  </si>
  <si>
    <t>M3</t>
  </si>
  <si>
    <t>M4</t>
  </si>
  <si>
    <t>M5</t>
  </si>
  <si>
    <t>M6</t>
  </si>
  <si>
    <t>M8</t>
  </si>
  <si>
    <t>M10</t>
  </si>
  <si>
    <t>M12</t>
  </si>
  <si>
    <t>M14</t>
  </si>
  <si>
    <t>M16</t>
  </si>
  <si>
    <t>M18</t>
  </si>
  <si>
    <t>M20</t>
  </si>
  <si>
    <t>M22</t>
  </si>
  <si>
    <t>M24</t>
  </si>
  <si>
    <t>M26</t>
  </si>
  <si>
    <t>M30</t>
  </si>
  <si>
    <t>M36</t>
  </si>
  <si>
    <t>M27</t>
  </si>
  <si>
    <t>M33</t>
  </si>
  <si>
    <t>M42</t>
  </si>
  <si>
    <t>M48</t>
  </si>
  <si>
    <t>M56</t>
  </si>
  <si>
    <t>M64</t>
  </si>
  <si>
    <t>Diamètre (mm)</t>
  </si>
  <si>
    <t>1er chiffre</t>
  </si>
  <si>
    <t>2ème chiffre</t>
  </si>
  <si>
    <t>Charge de rupture de la vis (N)</t>
  </si>
  <si>
    <t>Limite élasticité de la vis (N)</t>
  </si>
  <si>
    <r>
      <t xml:space="preserve">Vis </t>
    </r>
    <r>
      <rPr>
        <sz val="11"/>
        <color theme="1"/>
        <rFont val="Calibri"/>
        <family val="2"/>
        <scheme val="minor"/>
      </rPr>
      <t>(Filetage ISO à pas normal)</t>
    </r>
  </si>
  <si>
    <t>Pas</t>
  </si>
  <si>
    <t>M100</t>
  </si>
  <si>
    <t>M90</t>
  </si>
  <si>
    <t>M80</t>
  </si>
  <si>
    <t>M72</t>
  </si>
  <si>
    <t>Tableau résistance matériaux + facteur sécurité</t>
  </si>
  <si>
    <t>Base (m)</t>
  </si>
  <si>
    <r>
      <t>Hauteur</t>
    </r>
    <r>
      <rPr>
        <sz val="9"/>
        <color theme="1"/>
        <rFont val="Calibri"/>
        <family val="2"/>
        <scheme val="minor"/>
      </rPr>
      <t xml:space="preserve"> (déniveler)</t>
    </r>
    <r>
      <rPr>
        <sz val="11"/>
        <color theme="1"/>
        <rFont val="Calibri"/>
        <family val="2"/>
        <scheme val="minor"/>
      </rPr>
      <t xml:space="preserve"> (m)</t>
    </r>
  </si>
  <si>
    <t>Inclinaison (%)</t>
  </si>
  <si>
    <t>Puissance mécanique</t>
  </si>
  <si>
    <t>P</t>
  </si>
  <si>
    <t>Travail</t>
  </si>
  <si>
    <t>Distance</t>
  </si>
  <si>
    <t>Nm/s</t>
  </si>
  <si>
    <t>J/s</t>
  </si>
  <si>
    <t>W, Nm/s, J/s</t>
  </si>
  <si>
    <t>F</t>
  </si>
  <si>
    <t>Ws, Nm, J</t>
  </si>
  <si>
    <t>t</t>
  </si>
  <si>
    <t>v</t>
  </si>
  <si>
    <t>M</t>
  </si>
  <si>
    <t>n</t>
  </si>
  <si>
    <t>Conversions</t>
  </si>
  <si>
    <r>
      <t>Section (mm</t>
    </r>
    <r>
      <rPr>
        <b/>
        <sz val="11"/>
        <color theme="0"/>
        <rFont val="Calibri"/>
        <family val="2"/>
      </rPr>
      <t>²)</t>
    </r>
  </si>
  <si>
    <r>
      <t>Charge de rupture (N/mm</t>
    </r>
    <r>
      <rPr>
        <b/>
        <sz val="11"/>
        <color theme="0"/>
        <rFont val="Calibri"/>
        <family val="2"/>
      </rPr>
      <t>²</t>
    </r>
    <r>
      <rPr>
        <b/>
        <sz val="12.2"/>
        <color theme="0"/>
        <rFont val="Calibri"/>
        <family val="2"/>
      </rPr>
      <t>)</t>
    </r>
  </si>
  <si>
    <r>
      <t>Limite élasticité (N/mm</t>
    </r>
    <r>
      <rPr>
        <b/>
        <sz val="11"/>
        <color theme="0"/>
        <rFont val="Calibri"/>
        <family val="2"/>
      </rPr>
      <t>²</t>
    </r>
    <r>
      <rPr>
        <b/>
        <sz val="12.2"/>
        <color theme="0"/>
        <rFont val="Calibri"/>
        <family val="2"/>
      </rPr>
      <t>)</t>
    </r>
  </si>
  <si>
    <r>
      <t xml:space="preserve">Vis </t>
    </r>
    <r>
      <rPr>
        <sz val="11"/>
        <color rgb="FFFF0000"/>
        <rFont val="Calibri"/>
        <family val="2"/>
        <scheme val="minor"/>
      </rPr>
      <t>(Filetage ISO</t>
    </r>
    <r>
      <rPr>
        <u/>
        <sz val="11"/>
        <color rgb="FFFF0000"/>
        <rFont val="Calibri"/>
        <family val="2"/>
        <scheme val="minor"/>
      </rPr>
      <t xml:space="preserve"> à pas fin)</t>
    </r>
  </si>
  <si>
    <t>Chiffres romain/arabe</t>
  </si>
  <si>
    <t>Romain</t>
  </si>
  <si>
    <t>Arabe</t>
  </si>
  <si>
    <t>Nb dents 11 (Z11)</t>
  </si>
  <si>
    <t>Nb dents 12 (Z12)</t>
  </si>
  <si>
    <t>Nb dents 13 (Z13)</t>
  </si>
  <si>
    <t>Nb dents 14 (Z14)</t>
  </si>
  <si>
    <t>Nb dents 15 (Z15)</t>
  </si>
  <si>
    <t>Nb dents 16 (Z16)</t>
  </si>
  <si>
    <t>Nb dents 17 (Z17)</t>
  </si>
  <si>
    <t>Nb dents 18 (Z18)</t>
  </si>
  <si>
    <t>Nb dents 19 (Z19)</t>
  </si>
  <si>
    <t>Nb dents 20 (Z20)</t>
  </si>
  <si>
    <t>Nb dents 21 (Z21)</t>
  </si>
  <si>
    <t>Nb dents 22 (Z22)</t>
  </si>
  <si>
    <t>Débit injection</t>
  </si>
  <si>
    <t>Débit d'injection (mm3/coup)</t>
  </si>
  <si>
    <t>mm3/coup</t>
  </si>
  <si>
    <t>l/h</t>
  </si>
  <si>
    <t>Consommation</t>
  </si>
  <si>
    <t>Nb de cylindre</t>
  </si>
  <si>
    <t>Consomation spécifique</t>
  </si>
  <si>
    <t>g/kW</t>
  </si>
  <si>
    <t>Consomation horraire</t>
  </si>
  <si>
    <t xml:space="preserve">Puissance </t>
  </si>
  <si>
    <t>Couple max</t>
  </si>
  <si>
    <t>Couple au régime nominal</t>
  </si>
  <si>
    <r>
      <t>Remonté couple</t>
    </r>
    <r>
      <rPr>
        <sz val="8"/>
        <color theme="1"/>
        <rFont val="Calibri"/>
        <family val="2"/>
        <scheme val="minor"/>
      </rPr>
      <t>-&gt; (couple max-couple régime nom)/couple régime nom*100</t>
    </r>
  </si>
  <si>
    <t>Remontée de couple</t>
  </si>
  <si>
    <r>
      <t>Densité carburant</t>
    </r>
    <r>
      <rPr>
        <sz val="9"/>
        <color theme="1"/>
        <rFont val="Calibri"/>
        <family val="2"/>
        <scheme val="minor"/>
      </rPr>
      <t xml:space="preserve"> (Diesel = 830, essence = 725-730)</t>
    </r>
  </si>
  <si>
    <t>kg/m3</t>
  </si>
  <si>
    <t>Palan</t>
  </si>
  <si>
    <t>Force (F)</t>
  </si>
  <si>
    <t>Force pesanteur (G)</t>
  </si>
  <si>
    <t>Distance (s)</t>
  </si>
  <si>
    <t>Hauteur de levage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</si>
</sst>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E+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.3"/>
      <color theme="1"/>
      <name val="Calibri"/>
      <family val="2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.9"/>
      <color theme="1"/>
      <name val="Calibri"/>
      <family val="2"/>
    </font>
    <font>
      <sz val="10"/>
      <color theme="1"/>
      <name val="Calibri"/>
      <family val="2"/>
      <scheme val="minor"/>
    </font>
    <font>
      <sz val="11.55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GreekC_IV50"/>
    </font>
    <font>
      <sz val="10.5"/>
      <color theme="1"/>
      <name val="Calibri"/>
      <family val="2"/>
    </font>
    <font>
      <sz val="10.8"/>
      <color theme="1"/>
      <name val="Calibri"/>
      <family val="2"/>
    </font>
    <font>
      <b/>
      <u/>
      <sz val="11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.2"/>
      <color theme="0"/>
      <name val="Calibri"/>
      <family val="2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theme="0"/>
      </left>
      <right/>
      <top style="medium">
        <color rgb="FFFF0000"/>
      </top>
      <bottom/>
      <diagonal/>
    </border>
    <border>
      <left style="thin">
        <color theme="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ck">
        <color theme="0"/>
      </top>
      <bottom/>
      <diagonal/>
    </border>
    <border>
      <left style="thin">
        <color theme="0"/>
      </left>
      <right style="medium">
        <color rgb="FFFF0000"/>
      </right>
      <top style="thick">
        <color theme="0"/>
      </top>
      <bottom/>
      <diagonal/>
    </border>
    <border>
      <left style="medium">
        <color rgb="FFFF0000"/>
      </left>
      <right/>
      <top style="thin">
        <color theme="0"/>
      </top>
      <bottom/>
      <diagonal/>
    </border>
    <border>
      <left style="thin">
        <color theme="0"/>
      </left>
      <right style="medium">
        <color rgb="FFFF0000"/>
      </right>
      <top style="thin">
        <color theme="0"/>
      </top>
      <bottom/>
      <diagonal/>
    </border>
    <border>
      <left style="medium">
        <color rgb="FFFF0000"/>
      </left>
      <right/>
      <top style="thin">
        <color theme="0"/>
      </top>
      <bottom style="medium">
        <color rgb="FFFF0000"/>
      </bottom>
      <diagonal/>
    </border>
    <border>
      <left style="thin">
        <color theme="0"/>
      </left>
      <right/>
      <top style="thin">
        <color theme="0"/>
      </top>
      <bottom style="medium">
        <color rgb="FFFF000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/>
    <xf numFmtId="0" fontId="0" fillId="0" borderId="0" xfId="0" applyFont="1" applyFill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quotePrefix="1" applyBorder="1" applyAlignment="1">
      <alignment horizontal="center" vertical="center"/>
    </xf>
    <xf numFmtId="0" fontId="0" fillId="0" borderId="7" xfId="0" applyBorder="1"/>
    <xf numFmtId="0" fontId="1" fillId="0" borderId="0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2" borderId="3" xfId="0" applyFill="1" applyBorder="1"/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right" vertical="center"/>
    </xf>
    <xf numFmtId="0" fontId="0" fillId="9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0" borderId="0" xfId="0" applyAlignment="1">
      <alignment horizontal="right"/>
    </xf>
    <xf numFmtId="0" fontId="0" fillId="5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right" vertical="center"/>
    </xf>
    <xf numFmtId="0" fontId="0" fillId="12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4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15" borderId="0" xfId="0" applyFill="1" applyAlignment="1">
      <alignment vertical="center"/>
    </xf>
    <xf numFmtId="0" fontId="0" fillId="16" borderId="1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1" fillId="11" borderId="1" xfId="0" applyFont="1" applyFill="1" applyBorder="1"/>
    <xf numFmtId="0" fontId="0" fillId="11" borderId="1" xfId="0" applyFont="1" applyFill="1" applyBorder="1"/>
    <xf numFmtId="0" fontId="1" fillId="11" borderId="6" xfId="0" applyFont="1" applyFill="1" applyBorder="1"/>
    <xf numFmtId="0" fontId="1" fillId="11" borderId="7" xfId="0" applyFont="1" applyFill="1" applyBorder="1"/>
    <xf numFmtId="0" fontId="0" fillId="12" borderId="1" xfId="0" applyFont="1" applyFill="1" applyBorder="1"/>
    <xf numFmtId="0" fontId="0" fillId="13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8" borderId="1" xfId="0" applyFont="1" applyFill="1" applyBorder="1"/>
    <xf numFmtId="0" fontId="1" fillId="18" borderId="1" xfId="0" applyFont="1" applyFill="1" applyBorder="1"/>
    <xf numFmtId="0" fontId="0" fillId="18" borderId="2" xfId="0" applyFont="1" applyFill="1" applyBorder="1"/>
    <xf numFmtId="0" fontId="1" fillId="18" borderId="6" xfId="0" applyFont="1" applyFill="1" applyBorder="1"/>
    <xf numFmtId="0" fontId="0" fillId="18" borderId="11" xfId="0" applyFont="1" applyFill="1" applyBorder="1"/>
    <xf numFmtId="164" fontId="0" fillId="18" borderId="1" xfId="0" applyNumberFormat="1" applyFont="1" applyFill="1" applyBorder="1"/>
    <xf numFmtId="165" fontId="0" fillId="18" borderId="1" xfId="0" applyNumberFormat="1" applyFont="1" applyFill="1" applyBorder="1"/>
    <xf numFmtId="164" fontId="3" fillId="18" borderId="1" xfId="0" applyNumberFormat="1" applyFont="1" applyFill="1" applyBorder="1"/>
    <xf numFmtId="0" fontId="1" fillId="18" borderId="7" xfId="0" applyFont="1" applyFill="1" applyBorder="1"/>
    <xf numFmtId="0" fontId="0" fillId="20" borderId="1" xfId="0" applyFont="1" applyFill="1" applyBorder="1"/>
    <xf numFmtId="0" fontId="1" fillId="21" borderId="1" xfId="0" applyFont="1" applyFill="1" applyBorder="1"/>
    <xf numFmtId="0" fontId="0" fillId="21" borderId="1" xfId="0" applyFont="1" applyFill="1" applyBorder="1"/>
    <xf numFmtId="0" fontId="1" fillId="21" borderId="6" xfId="0" applyFont="1" applyFill="1" applyBorder="1"/>
    <xf numFmtId="0" fontId="1" fillId="21" borderId="7" xfId="0" applyFont="1" applyFill="1" applyBorder="1"/>
    <xf numFmtId="0" fontId="0" fillId="22" borderId="1" xfId="0" applyFont="1" applyFill="1" applyBorder="1"/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/>
    <xf numFmtId="0" fontId="0" fillId="24" borderId="1" xfId="0" applyFont="1" applyFill="1" applyBorder="1"/>
    <xf numFmtId="0" fontId="1" fillId="24" borderId="6" xfId="0" applyFont="1" applyFill="1" applyBorder="1"/>
    <xf numFmtId="0" fontId="1" fillId="24" borderId="7" xfId="0" applyFont="1" applyFill="1" applyBorder="1"/>
    <xf numFmtId="0" fontId="0" fillId="25" borderId="1" xfId="0" applyFont="1" applyFill="1" applyBorder="1"/>
    <xf numFmtId="0" fontId="1" fillId="26" borderId="1" xfId="0" applyFont="1" applyFill="1" applyBorder="1" applyAlignment="1">
      <alignment horizontal="center" vertical="center"/>
    </xf>
    <xf numFmtId="0" fontId="1" fillId="27" borderId="1" xfId="0" applyFont="1" applyFill="1" applyBorder="1"/>
    <xf numFmtId="0" fontId="0" fillId="27" borderId="1" xfId="0" applyFont="1" applyFill="1" applyBorder="1"/>
    <xf numFmtId="0" fontId="1" fillId="27" borderId="6" xfId="0" applyFont="1" applyFill="1" applyBorder="1"/>
    <xf numFmtId="0" fontId="1" fillId="27" borderId="7" xfId="0" applyFont="1" applyFill="1" applyBorder="1"/>
    <xf numFmtId="0" fontId="1" fillId="28" borderId="1" xfId="0" applyFont="1" applyFill="1" applyBorder="1" applyAlignment="1">
      <alignment horizontal="center"/>
    </xf>
    <xf numFmtId="0" fontId="0" fillId="29" borderId="1" xfId="0" applyFont="1" applyFill="1" applyBorder="1"/>
    <xf numFmtId="0" fontId="1" fillId="15" borderId="1" xfId="0" applyFont="1" applyFill="1" applyBorder="1"/>
    <xf numFmtId="0" fontId="0" fillId="15" borderId="1" xfId="0" applyFont="1" applyFill="1" applyBorder="1"/>
    <xf numFmtId="0" fontId="1" fillId="15" borderId="6" xfId="0" applyFont="1" applyFill="1" applyBorder="1"/>
    <xf numFmtId="0" fontId="1" fillId="15" borderId="7" xfId="0" applyFont="1" applyFill="1" applyBorder="1"/>
    <xf numFmtId="0" fontId="0" fillId="16" borderId="1" xfId="0" applyFont="1" applyFill="1" applyBorder="1"/>
    <xf numFmtId="0" fontId="1" fillId="17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0" fillId="6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1" fillId="19" borderId="20" xfId="0" applyFont="1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1" fillId="28" borderId="20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1" fillId="18" borderId="18" xfId="0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0" fillId="29" borderId="18" xfId="0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6" fillId="27" borderId="2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27" borderId="21" xfId="0" applyFont="1" applyFill="1" applyBorder="1" applyAlignment="1">
      <alignment horizontal="center"/>
    </xf>
    <xf numFmtId="0" fontId="5" fillId="18" borderId="22" xfId="0" applyFont="1" applyFill="1" applyBorder="1" applyAlignment="1">
      <alignment horizontal="center"/>
    </xf>
    <xf numFmtId="0" fontId="5" fillId="18" borderId="10" xfId="0" applyFont="1" applyFill="1" applyBorder="1" applyAlignment="1">
      <alignment horizontal="center"/>
    </xf>
    <xf numFmtId="0" fontId="5" fillId="11" borderId="22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0" fillId="0" borderId="0" xfId="0" applyAlignment="1"/>
    <xf numFmtId="0" fontId="0" fillId="29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18" borderId="1" xfId="0" applyFill="1" applyBorder="1"/>
    <xf numFmtId="0" fontId="0" fillId="20" borderId="1" xfId="0" applyFill="1" applyBorder="1"/>
    <xf numFmtId="0" fontId="1" fillId="19" borderId="1" xfId="0" applyFont="1" applyFill="1" applyBorder="1" applyAlignment="1">
      <alignment horizontal="center"/>
    </xf>
    <xf numFmtId="0" fontId="0" fillId="18" borderId="6" xfId="0" applyFill="1" applyBorder="1"/>
    <xf numFmtId="0" fontId="0" fillId="18" borderId="7" xfId="0" applyFill="1" applyBorder="1"/>
    <xf numFmtId="0" fontId="1" fillId="13" borderId="0" xfId="0" applyFont="1" applyFill="1"/>
    <xf numFmtId="0" fontId="1" fillId="13" borderId="2" xfId="0" applyFont="1" applyFill="1" applyBorder="1"/>
    <xf numFmtId="0" fontId="0" fillId="13" borderId="1" xfId="0" applyFont="1" applyFill="1" applyBorder="1"/>
    <xf numFmtId="0" fontId="1" fillId="30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/>
    </xf>
    <xf numFmtId="0" fontId="1" fillId="13" borderId="0" xfId="0" applyFont="1" applyFill="1" applyBorder="1"/>
    <xf numFmtId="0" fontId="0" fillId="11" borderId="19" xfId="0" applyFont="1" applyFill="1" applyBorder="1"/>
    <xf numFmtId="0" fontId="0" fillId="13" borderId="19" xfId="0" applyFont="1" applyFill="1" applyBorder="1"/>
    <xf numFmtId="0" fontId="1" fillId="30" borderId="19" xfId="0" applyFont="1" applyFill="1" applyBorder="1" applyAlignment="1">
      <alignment horizontal="center"/>
    </xf>
    <xf numFmtId="0" fontId="1" fillId="13" borderId="11" xfId="0" applyFont="1" applyFill="1" applyBorder="1"/>
    <xf numFmtId="0" fontId="0" fillId="29" borderId="1" xfId="0" applyFill="1" applyBorder="1"/>
    <xf numFmtId="0" fontId="0" fillId="28" borderId="1" xfId="0" applyFill="1" applyBorder="1"/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11" borderId="1" xfId="0" applyFill="1" applyBorder="1"/>
    <xf numFmtId="0" fontId="0" fillId="12" borderId="1" xfId="0" applyFill="1" applyBorder="1" applyAlignment="1">
      <alignment horizontal="center"/>
    </xf>
    <xf numFmtId="0" fontId="0" fillId="31" borderId="0" xfId="0" applyFill="1" applyBorder="1"/>
    <xf numFmtId="0" fontId="0" fillId="31" borderId="0" xfId="0" applyFill="1" applyBorder="1" applyAlignment="1">
      <alignment horizontal="center"/>
    </xf>
    <xf numFmtId="0" fontId="0" fillId="11" borderId="1" xfId="0" applyFont="1" applyFill="1" applyBorder="1" applyAlignment="1">
      <alignment horizontal="left"/>
    </xf>
    <xf numFmtId="0" fontId="0" fillId="13" borderId="0" xfId="0" applyFill="1"/>
    <xf numFmtId="0" fontId="0" fillId="13" borderId="1" xfId="0" applyFill="1" applyBorder="1"/>
    <xf numFmtId="0" fontId="0" fillId="12" borderId="1" xfId="0" applyFill="1" applyBorder="1"/>
    <xf numFmtId="0" fontId="0" fillId="12" borderId="11" xfId="0" applyFill="1" applyBorder="1" applyAlignment="1">
      <alignment horizontal="center"/>
    </xf>
    <xf numFmtId="0" fontId="0" fillId="13" borderId="11" xfId="0" applyFill="1" applyBorder="1"/>
    <xf numFmtId="0" fontId="0" fillId="11" borderId="11" xfId="0" applyFont="1" applyFill="1" applyBorder="1" applyAlignment="1">
      <alignment horizontal="left"/>
    </xf>
    <xf numFmtId="0" fontId="0" fillId="12" borderId="7" xfId="0" applyFill="1" applyBorder="1" applyAlignment="1">
      <alignment horizontal="center"/>
    </xf>
    <xf numFmtId="0" fontId="0" fillId="13" borderId="19" xfId="0" applyFill="1" applyBorder="1"/>
    <xf numFmtId="0" fontId="0" fillId="13" borderId="2" xfId="0" applyFill="1" applyBorder="1"/>
    <xf numFmtId="0" fontId="0" fillId="12" borderId="2" xfId="0" applyFill="1" applyBorder="1"/>
    <xf numFmtId="0" fontId="0" fillId="13" borderId="4" xfId="0" applyFill="1" applyBorder="1"/>
    <xf numFmtId="0" fontId="0" fillId="13" borderId="7" xfId="0" applyFill="1" applyBorder="1"/>
    <xf numFmtId="0" fontId="0" fillId="31" borderId="7" xfId="0" applyFill="1" applyBorder="1"/>
    <xf numFmtId="0" fontId="0" fillId="11" borderId="11" xfId="0" applyFill="1" applyBorder="1"/>
    <xf numFmtId="0" fontId="0" fillId="13" borderId="18" xfId="0" applyFill="1" applyBorder="1"/>
    <xf numFmtId="0" fontId="0" fillId="5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8" borderId="1" xfId="0" applyFill="1" applyBorder="1"/>
    <xf numFmtId="0" fontId="0" fillId="9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27" borderId="1" xfId="0" applyFill="1" applyBorder="1"/>
    <xf numFmtId="0" fontId="0" fillId="11" borderId="2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0" fillId="0" borderId="1" xfId="0" applyFill="1" applyBorder="1"/>
    <xf numFmtId="0" fontId="0" fillId="0" borderId="2" xfId="0" applyFill="1" applyBorder="1"/>
    <xf numFmtId="0" fontId="0" fillId="0" borderId="17" xfId="0" applyBorder="1"/>
    <xf numFmtId="0" fontId="0" fillId="0" borderId="0" xfId="0" applyFill="1" applyBorder="1"/>
    <xf numFmtId="0" fontId="21" fillId="0" borderId="0" xfId="0" applyFont="1" applyFill="1" applyBorder="1" applyAlignment="1"/>
    <xf numFmtId="0" fontId="0" fillId="13" borderId="9" xfId="0" applyFill="1" applyBorder="1"/>
    <xf numFmtId="0" fontId="0" fillId="12" borderId="18" xfId="0" applyFill="1" applyBorder="1"/>
    <xf numFmtId="0" fontId="20" fillId="0" borderId="0" xfId="0" applyFont="1"/>
    <xf numFmtId="0" fontId="0" fillId="13" borderId="17" xfId="0" applyFill="1" applyBorder="1"/>
    <xf numFmtId="0" fontId="0" fillId="16" borderId="18" xfId="0" applyFill="1" applyBorder="1"/>
    <xf numFmtId="0" fontId="0" fillId="16" borderId="2" xfId="0" applyFill="1" applyBorder="1"/>
    <xf numFmtId="0" fontId="0" fillId="17" borderId="2" xfId="0" applyFill="1" applyBorder="1"/>
    <xf numFmtId="0" fontId="0" fillId="11" borderId="18" xfId="0" applyFill="1" applyBorder="1"/>
    <xf numFmtId="0" fontId="0" fillId="0" borderId="0" xfId="0" applyFill="1"/>
    <xf numFmtId="0" fontId="0" fillId="11" borderId="19" xfId="0" applyFill="1" applyBorder="1"/>
    <xf numFmtId="0" fontId="0" fillId="12" borderId="4" xfId="0" applyFill="1" applyBorder="1"/>
    <xf numFmtId="0" fontId="0" fillId="12" borderId="10" xfId="0" applyFill="1" applyBorder="1"/>
    <xf numFmtId="0" fontId="0" fillId="0" borderId="5" xfId="0" applyFill="1" applyBorder="1"/>
    <xf numFmtId="0" fontId="0" fillId="12" borderId="9" xfId="0" applyFill="1" applyBorder="1"/>
    <xf numFmtId="0" fontId="0" fillId="0" borderId="4" xfId="0" applyFill="1" applyBorder="1"/>
    <xf numFmtId="0" fontId="0" fillId="0" borderId="6" xfId="0" applyFill="1" applyBorder="1"/>
    <xf numFmtId="0" fontId="0" fillId="27" borderId="2" xfId="0" applyFill="1" applyBorder="1"/>
    <xf numFmtId="0" fontId="0" fillId="27" borderId="18" xfId="0" applyFill="1" applyBorder="1"/>
    <xf numFmtId="0" fontId="0" fillId="28" borderId="2" xfId="0" applyFill="1" applyBorder="1"/>
    <xf numFmtId="0" fontId="0" fillId="27" borderId="17" xfId="0" applyFill="1" applyBorder="1"/>
    <xf numFmtId="0" fontId="18" fillId="0" borderId="0" xfId="0" applyFont="1" applyFill="1" applyBorder="1" applyAlignment="1"/>
    <xf numFmtId="0" fontId="13" fillId="28" borderId="2" xfId="0" applyFont="1" applyFill="1" applyBorder="1"/>
    <xf numFmtId="0" fontId="0" fillId="0" borderId="0" xfId="0" applyAlignment="1">
      <alignment horizontal="center" vertical="center"/>
    </xf>
    <xf numFmtId="0" fontId="0" fillId="28" borderId="23" xfId="0" applyFill="1" applyBorder="1"/>
    <xf numFmtId="0" fontId="0" fillId="28" borderId="6" xfId="0" applyFill="1" applyBorder="1"/>
    <xf numFmtId="0" fontId="0" fillId="27" borderId="0" xfId="0" applyFill="1" applyBorder="1"/>
    <xf numFmtId="0" fontId="0" fillId="0" borderId="1" xfId="0" applyBorder="1"/>
    <xf numFmtId="0" fontId="0" fillId="0" borderId="11" xfId="0" applyBorder="1"/>
    <xf numFmtId="0" fontId="0" fillId="0" borderId="18" xfId="0" applyBorder="1"/>
    <xf numFmtId="0" fontId="0" fillId="0" borderId="2" xfId="0" applyBorder="1"/>
    <xf numFmtId="0" fontId="0" fillId="0" borderId="31" xfId="0" applyBorder="1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32" borderId="0" xfId="0" applyFill="1" applyAlignment="1">
      <alignment vertical="center"/>
    </xf>
    <xf numFmtId="0" fontId="0" fillId="32" borderId="0" xfId="0" applyFill="1" applyAlignment="1">
      <alignment horizontal="left" vertical="center"/>
    </xf>
    <xf numFmtId="0" fontId="0" fillId="24" borderId="0" xfId="0" applyFill="1" applyAlignment="1">
      <alignment vertical="center"/>
    </xf>
    <xf numFmtId="0" fontId="32" fillId="0" borderId="0" xfId="0" applyFont="1" applyAlignment="1">
      <alignment vertical="center"/>
    </xf>
    <xf numFmtId="0" fontId="0" fillId="11" borderId="1" xfId="0" applyFill="1" applyBorder="1" applyAlignment="1">
      <alignment horizontal="center"/>
    </xf>
    <xf numFmtId="0" fontId="0" fillId="12" borderId="11" xfId="0" applyFill="1" applyBorder="1"/>
    <xf numFmtId="0" fontId="0" fillId="13" borderId="0" xfId="0" applyFill="1" applyAlignment="1">
      <alignment horizontal="center" vertical="center"/>
    </xf>
    <xf numFmtId="0" fontId="1" fillId="13" borderId="44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13" borderId="1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0" fillId="12" borderId="18" xfId="0" applyFill="1" applyBorder="1" applyAlignment="1">
      <alignment horizontal="left" vertical="center"/>
    </xf>
    <xf numFmtId="0" fontId="0" fillId="12" borderId="22" xfId="0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22" xfId="0" applyBorder="1"/>
    <xf numFmtId="0" fontId="0" fillId="3" borderId="6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0" borderId="8" xfId="0" applyFill="1" applyBorder="1"/>
    <xf numFmtId="0" fontId="0" fillId="13" borderId="22" xfId="0" applyFill="1" applyBorder="1"/>
    <xf numFmtId="0" fontId="33" fillId="33" borderId="0" xfId="0" applyFont="1" applyFill="1" applyBorder="1" applyAlignment="1">
      <alignment horizontal="center" vertical="center" wrapText="1"/>
    </xf>
    <xf numFmtId="0" fontId="33" fillId="33" borderId="47" xfId="0" applyFont="1" applyFill="1" applyBorder="1" applyAlignment="1">
      <alignment horizontal="center" vertical="center" wrapText="1"/>
    </xf>
    <xf numFmtId="0" fontId="0" fillId="34" borderId="48" xfId="0" applyFont="1" applyFill="1" applyBorder="1" applyAlignment="1">
      <alignment vertical="center"/>
    </xf>
    <xf numFmtId="0" fontId="0" fillId="34" borderId="49" xfId="0" applyFont="1" applyFill="1" applyBorder="1" applyAlignment="1">
      <alignment horizontal="center" vertical="center"/>
    </xf>
    <xf numFmtId="0" fontId="0" fillId="35" borderId="50" xfId="0" applyFont="1" applyFill="1" applyBorder="1" applyAlignment="1">
      <alignment vertical="center"/>
    </xf>
    <xf numFmtId="0" fontId="0" fillId="35" borderId="46" xfId="0" applyFont="1" applyFill="1" applyBorder="1" applyAlignment="1">
      <alignment horizontal="center" vertical="center"/>
    </xf>
    <xf numFmtId="0" fontId="31" fillId="35" borderId="46" xfId="0" applyFont="1" applyFill="1" applyBorder="1" applyAlignment="1">
      <alignment horizontal="center" vertical="center"/>
    </xf>
    <xf numFmtId="0" fontId="0" fillId="34" borderId="50" xfId="0" applyFont="1" applyFill="1" applyBorder="1" applyAlignment="1">
      <alignment vertical="center"/>
    </xf>
    <xf numFmtId="0" fontId="0" fillId="34" borderId="46" xfId="0" applyFont="1" applyFill="1" applyBorder="1" applyAlignment="1">
      <alignment horizontal="center" vertical="center"/>
    </xf>
    <xf numFmtId="0" fontId="31" fillId="34" borderId="46" xfId="0" applyFont="1" applyFill="1" applyBorder="1" applyAlignment="1">
      <alignment horizontal="center" vertical="center"/>
    </xf>
    <xf numFmtId="0" fontId="33" fillId="33" borderId="51" xfId="0" applyFont="1" applyFill="1" applyBorder="1" applyAlignment="1">
      <alignment horizontal="center" vertical="center" wrapText="1"/>
    </xf>
    <xf numFmtId="0" fontId="33" fillId="33" borderId="52" xfId="0" applyFont="1" applyFill="1" applyBorder="1" applyAlignment="1">
      <alignment horizontal="center" vertical="center" wrapText="1"/>
    </xf>
    <xf numFmtId="0" fontId="33" fillId="33" borderId="53" xfId="0" applyFont="1" applyFill="1" applyBorder="1" applyAlignment="1">
      <alignment horizontal="center" vertical="center" wrapText="1"/>
    </xf>
    <xf numFmtId="0" fontId="0" fillId="34" borderId="54" xfId="0" applyFont="1" applyFill="1" applyBorder="1" applyAlignment="1">
      <alignment vertical="center"/>
    </xf>
    <xf numFmtId="0" fontId="0" fillId="34" borderId="55" xfId="0" applyFont="1" applyFill="1" applyBorder="1" applyAlignment="1">
      <alignment horizontal="center" vertical="center"/>
    </xf>
    <xf numFmtId="0" fontId="0" fillId="35" borderId="56" xfId="0" applyFont="1" applyFill="1" applyBorder="1" applyAlignment="1">
      <alignment vertical="center"/>
    </xf>
    <xf numFmtId="0" fontId="0" fillId="35" borderId="57" xfId="0" applyFont="1" applyFill="1" applyBorder="1" applyAlignment="1">
      <alignment horizontal="center" vertical="center"/>
    </xf>
    <xf numFmtId="0" fontId="0" fillId="34" borderId="56" xfId="0" applyFont="1" applyFill="1" applyBorder="1" applyAlignment="1">
      <alignment vertical="center"/>
    </xf>
    <xf numFmtId="0" fontId="0" fillId="34" borderId="57" xfId="0" applyFont="1" applyFill="1" applyBorder="1" applyAlignment="1">
      <alignment horizontal="center" vertical="center"/>
    </xf>
    <xf numFmtId="0" fontId="0" fillId="35" borderId="58" xfId="0" applyFont="1" applyFill="1" applyBorder="1" applyAlignment="1">
      <alignment vertical="center"/>
    </xf>
    <xf numFmtId="0" fontId="0" fillId="35" borderId="59" xfId="0" applyFont="1" applyFill="1" applyBorder="1" applyAlignment="1">
      <alignment horizontal="center" vertical="center"/>
    </xf>
    <xf numFmtId="0" fontId="31" fillId="35" borderId="59" xfId="0" applyFont="1" applyFill="1" applyBorder="1" applyAlignment="1">
      <alignment horizontal="center" vertical="center"/>
    </xf>
    <xf numFmtId="0" fontId="0" fillId="35" borderId="60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1" fillId="14" borderId="1" xfId="0" applyFont="1" applyFill="1" applyBorder="1" applyAlignment="1">
      <alignment horizontal="center"/>
    </xf>
    <xf numFmtId="0" fontId="0" fillId="3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29" borderId="66" xfId="0" applyFill="1" applyBorder="1"/>
    <xf numFmtId="0" fontId="0" fillId="27" borderId="67" xfId="0" applyFill="1" applyBorder="1"/>
    <xf numFmtId="0" fontId="0" fillId="29" borderId="68" xfId="0" applyFill="1" applyBorder="1"/>
    <xf numFmtId="0" fontId="0" fillId="27" borderId="69" xfId="0" applyFill="1" applyBorder="1"/>
    <xf numFmtId="0" fontId="0" fillId="29" borderId="70" xfId="0" applyFill="1" applyBorder="1"/>
    <xf numFmtId="0" fontId="0" fillId="27" borderId="71" xfId="0" applyFill="1" applyBorder="1"/>
    <xf numFmtId="0" fontId="0" fillId="28" borderId="27" xfId="0" applyFill="1" applyBorder="1" applyAlignment="1">
      <alignment horizontal="center"/>
    </xf>
    <xf numFmtId="0" fontId="0" fillId="28" borderId="29" xfId="0" applyFill="1" applyBorder="1" applyAlignment="1">
      <alignment horizontal="center"/>
    </xf>
    <xf numFmtId="0" fontId="0" fillId="8" borderId="19" xfId="0" applyFill="1" applyBorder="1"/>
    <xf numFmtId="0" fontId="0" fillId="9" borderId="19" xfId="0" applyFill="1" applyBorder="1"/>
    <xf numFmtId="0" fontId="0" fillId="15" borderId="11" xfId="0" applyFill="1" applyBorder="1"/>
    <xf numFmtId="0" fontId="0" fillId="16" borderId="7" xfId="0" applyFill="1" applyBorder="1"/>
    <xf numFmtId="0" fontId="0" fillId="8" borderId="72" xfId="0" applyFill="1" applyBorder="1"/>
    <xf numFmtId="0" fontId="0" fillId="9" borderId="73" xfId="0" applyFill="1" applyBorder="1"/>
    <xf numFmtId="0" fontId="0" fillId="8" borderId="74" xfId="0" applyFill="1" applyBorder="1"/>
    <xf numFmtId="0" fontId="0" fillId="9" borderId="75" xfId="0" applyFill="1" applyBorder="1"/>
    <xf numFmtId="0" fontId="0" fillId="8" borderId="76" xfId="0" applyFill="1" applyBorder="1"/>
    <xf numFmtId="0" fontId="0" fillId="9" borderId="77" xfId="0" applyFill="1" applyBorder="1"/>
    <xf numFmtId="0" fontId="0" fillId="28" borderId="7" xfId="0" applyFill="1" applyBorder="1"/>
    <xf numFmtId="0" fontId="0" fillId="3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29" borderId="7" xfId="0" applyFill="1" applyBorder="1" applyAlignment="1">
      <alignment horizontal="center"/>
    </xf>
    <xf numFmtId="0" fontId="0" fillId="13" borderId="78" xfId="0" applyFill="1" applyBorder="1"/>
    <xf numFmtId="0" fontId="0" fillId="12" borderId="17" xfId="0" applyFill="1" applyBorder="1" applyAlignment="1">
      <alignment horizontal="center"/>
    </xf>
    <xf numFmtId="0" fontId="0" fillId="28" borderId="83" xfId="0" applyFill="1" applyBorder="1"/>
    <xf numFmtId="0" fontId="0" fillId="28" borderId="79" xfId="0" applyFill="1" applyBorder="1"/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8" borderId="24" xfId="0" applyFont="1" applyFill="1" applyBorder="1" applyAlignment="1">
      <alignment horizontal="center"/>
    </xf>
    <xf numFmtId="0" fontId="2" fillId="28" borderId="26" xfId="0" applyFont="1" applyFill="1" applyBorder="1" applyAlignment="1">
      <alignment horizontal="center"/>
    </xf>
    <xf numFmtId="0" fontId="2" fillId="28" borderId="25" xfId="0" applyFont="1" applyFill="1" applyBorder="1" applyAlignment="1">
      <alignment horizontal="center"/>
    </xf>
    <xf numFmtId="0" fontId="37" fillId="0" borderId="5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8" fillId="13" borderId="24" xfId="0" applyFont="1" applyFill="1" applyBorder="1" applyAlignment="1">
      <alignment horizontal="center"/>
    </xf>
    <xf numFmtId="0" fontId="18" fillId="13" borderId="26" xfId="0" applyFont="1" applyFill="1" applyBorder="1" applyAlignment="1">
      <alignment horizontal="center"/>
    </xf>
    <xf numFmtId="0" fontId="18" fillId="13" borderId="25" xfId="0" applyFont="1" applyFill="1" applyBorder="1" applyAlignment="1">
      <alignment horizontal="center"/>
    </xf>
    <xf numFmtId="0" fontId="18" fillId="28" borderId="24" xfId="0" applyFont="1" applyFill="1" applyBorder="1" applyAlignment="1">
      <alignment horizontal="center"/>
    </xf>
    <xf numFmtId="0" fontId="0" fillId="28" borderId="26" xfId="0" applyFill="1" applyBorder="1" applyAlignment="1">
      <alignment horizontal="center"/>
    </xf>
    <xf numFmtId="0" fontId="0" fillId="28" borderId="25" xfId="0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9" xfId="0" applyFill="1" applyBorder="1" applyAlignment="1">
      <alignment horizontal="left"/>
    </xf>
    <xf numFmtId="0" fontId="18" fillId="13" borderId="2" xfId="0" applyFont="1" applyFill="1" applyBorder="1" applyAlignment="1">
      <alignment horizontal="center"/>
    </xf>
    <xf numFmtId="0" fontId="18" fillId="13" borderId="17" xfId="0" applyFont="1" applyFill="1" applyBorder="1" applyAlignment="1">
      <alignment horizontal="center"/>
    </xf>
    <xf numFmtId="0" fontId="18" fillId="13" borderId="18" xfId="0" applyFont="1" applyFill="1" applyBorder="1" applyAlignment="1">
      <alignment horizontal="center"/>
    </xf>
    <xf numFmtId="0" fontId="0" fillId="11" borderId="11" xfId="0" applyFont="1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18" fillId="13" borderId="6" xfId="0" applyFont="1" applyFill="1" applyBorder="1" applyAlignment="1">
      <alignment horizontal="center"/>
    </xf>
    <xf numFmtId="0" fontId="18" fillId="13" borderId="0" xfId="0" applyFont="1" applyFill="1" applyBorder="1" applyAlignment="1">
      <alignment horizontal="center"/>
    </xf>
    <xf numFmtId="0" fontId="0" fillId="11" borderId="7" xfId="0" applyFont="1" applyFill="1" applyBorder="1" applyAlignment="1">
      <alignment horizontal="left"/>
    </xf>
    <xf numFmtId="0" fontId="0" fillId="11" borderId="9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/>
    </xf>
    <xf numFmtId="0" fontId="0" fillId="11" borderId="18" xfId="0" applyFont="1" applyFill="1" applyBorder="1" applyAlignment="1">
      <alignment horizontal="left"/>
    </xf>
    <xf numFmtId="0" fontId="18" fillId="13" borderId="7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8" borderId="18" xfId="0" applyFont="1" applyFill="1" applyBorder="1" applyAlignment="1">
      <alignment horizontal="center"/>
    </xf>
    <xf numFmtId="0" fontId="1" fillId="27" borderId="2" xfId="0" applyFont="1" applyFill="1" applyBorder="1" applyAlignment="1">
      <alignment horizontal="center"/>
    </xf>
    <xf numFmtId="0" fontId="0" fillId="27" borderId="17" xfId="0" applyFill="1" applyBorder="1" applyAlignment="1">
      <alignment horizontal="center"/>
    </xf>
    <xf numFmtId="0" fontId="1" fillId="27" borderId="17" xfId="0" applyFont="1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vertical="center"/>
    </xf>
    <xf numFmtId="0" fontId="16" fillId="18" borderId="23" xfId="0" applyFont="1" applyFill="1" applyBorder="1" applyAlignment="1">
      <alignment horizontal="center" vertical="center"/>
    </xf>
    <xf numFmtId="0" fontId="16" fillId="18" borderId="11" xfId="0" applyFont="1" applyFill="1" applyBorder="1" applyAlignment="1">
      <alignment horizontal="center" vertical="center"/>
    </xf>
    <xf numFmtId="0" fontId="15" fillId="27" borderId="19" xfId="0" applyFont="1" applyFill="1" applyBorder="1" applyAlignment="1">
      <alignment horizontal="center" vertical="center"/>
    </xf>
    <xf numFmtId="0" fontId="0" fillId="27" borderId="23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18" fillId="13" borderId="39" xfId="0" applyFont="1" applyFill="1" applyBorder="1" applyAlignment="1">
      <alignment horizontal="center"/>
    </xf>
    <xf numFmtId="0" fontId="0" fillId="11" borderId="40" xfId="0" applyFill="1" applyBorder="1" applyAlignment="1">
      <alignment horizontal="left"/>
    </xf>
    <xf numFmtId="0" fontId="0" fillId="11" borderId="41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0" fillId="11" borderId="10" xfId="0" applyFill="1" applyBorder="1" applyAlignment="1">
      <alignment horizontal="left"/>
    </xf>
    <xf numFmtId="0" fontId="0" fillId="27" borderId="4" xfId="0" applyFill="1" applyBorder="1" applyAlignment="1">
      <alignment horizontal="center"/>
    </xf>
    <xf numFmtId="0" fontId="0" fillId="27" borderId="5" xfId="0" applyFill="1" applyBorder="1" applyAlignment="1">
      <alignment horizontal="center"/>
    </xf>
    <xf numFmtId="0" fontId="0" fillId="27" borderId="42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32" borderId="0" xfId="0" applyFill="1" applyAlignment="1">
      <alignment horizontal="left" vertical="center"/>
    </xf>
    <xf numFmtId="0" fontId="0" fillId="18" borderId="4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43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3" xfId="0" applyFill="1" applyBorder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9" fillId="11" borderId="0" xfId="0" applyFont="1" applyFill="1" applyAlignment="1">
      <alignment horizontal="right" vertical="center"/>
    </xf>
    <xf numFmtId="0" fontId="0" fillId="11" borderId="3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15" borderId="0" xfId="0" applyFill="1" applyAlignment="1">
      <alignment horizontal="right" vertical="center"/>
    </xf>
    <xf numFmtId="0" fontId="0" fillId="15" borderId="3" xfId="0" applyFill="1" applyBorder="1" applyAlignment="1">
      <alignment horizontal="right" vertical="center"/>
    </xf>
    <xf numFmtId="0" fontId="18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27" borderId="7" xfId="0" applyFill="1" applyBorder="1" applyAlignment="1">
      <alignment horizontal="left"/>
    </xf>
    <xf numFmtId="0" fontId="0" fillId="27" borderId="9" xfId="0" applyFill="1" applyBorder="1" applyAlignment="1">
      <alignment horizontal="left"/>
    </xf>
    <xf numFmtId="0" fontId="0" fillId="27" borderId="2" xfId="0" applyFill="1" applyBorder="1" applyAlignment="1">
      <alignment horizontal="left"/>
    </xf>
    <xf numFmtId="0" fontId="0" fillId="27" borderId="18" xfId="0" applyFill="1" applyBorder="1" applyAlignment="1">
      <alignment horizontal="left"/>
    </xf>
    <xf numFmtId="0" fontId="21" fillId="28" borderId="80" xfId="0" applyFont="1" applyFill="1" applyBorder="1" applyAlignment="1">
      <alignment horizontal="center"/>
    </xf>
    <xf numFmtId="0" fontId="21" fillId="28" borderId="81" xfId="0" applyFont="1" applyFill="1" applyBorder="1" applyAlignment="1">
      <alignment horizontal="center"/>
    </xf>
    <xf numFmtId="0" fontId="21" fillId="28" borderId="82" xfId="0" applyFont="1" applyFill="1" applyBorder="1" applyAlignment="1">
      <alignment horizontal="center"/>
    </xf>
    <xf numFmtId="0" fontId="21" fillId="13" borderId="27" xfId="0" applyFont="1" applyFill="1" applyBorder="1" applyAlignment="1">
      <alignment horizontal="center"/>
    </xf>
    <xf numFmtId="0" fontId="21" fillId="13" borderId="28" xfId="0" applyFont="1" applyFill="1" applyBorder="1" applyAlignment="1">
      <alignment horizontal="center"/>
    </xf>
    <xf numFmtId="0" fontId="21" fillId="13" borderId="29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1" fillId="13" borderId="24" xfId="0" applyFont="1" applyFill="1" applyBorder="1" applyAlignment="1">
      <alignment horizontal="center"/>
    </xf>
    <xf numFmtId="0" fontId="21" fillId="13" borderId="26" xfId="0" applyFont="1" applyFill="1" applyBorder="1" applyAlignment="1">
      <alignment horizontal="center"/>
    </xf>
    <xf numFmtId="0" fontId="21" fillId="13" borderId="25" xfId="0" applyFont="1" applyFill="1" applyBorder="1" applyAlignment="1">
      <alignment horizontal="center"/>
    </xf>
    <xf numFmtId="0" fontId="23" fillId="11" borderId="1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left" vertical="center"/>
    </xf>
    <xf numFmtId="0" fontId="0" fillId="11" borderId="9" xfId="0" applyFill="1" applyBorder="1" applyAlignment="1">
      <alignment horizontal="left" vertical="center"/>
    </xf>
    <xf numFmtId="0" fontId="18" fillId="11" borderId="24" xfId="0" applyFont="1" applyFill="1" applyBorder="1" applyAlignment="1">
      <alignment horizontal="center"/>
    </xf>
    <xf numFmtId="0" fontId="18" fillId="11" borderId="26" xfId="0" applyFont="1" applyFill="1" applyBorder="1" applyAlignment="1">
      <alignment horizontal="center"/>
    </xf>
    <xf numFmtId="0" fontId="18" fillId="11" borderId="25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11" borderId="27" xfId="0" applyFont="1" applyFill="1" applyBorder="1" applyAlignment="1">
      <alignment horizontal="center"/>
    </xf>
    <xf numFmtId="0" fontId="18" fillId="11" borderId="28" xfId="0" applyFont="1" applyFill="1" applyBorder="1" applyAlignment="1">
      <alignment horizontal="center"/>
    </xf>
    <xf numFmtId="0" fontId="18" fillId="11" borderId="29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8" fillId="27" borderId="24" xfId="0" applyFont="1" applyFill="1" applyBorder="1" applyAlignment="1">
      <alignment horizontal="center"/>
    </xf>
    <xf numFmtId="0" fontId="18" fillId="27" borderId="26" xfId="0" applyFont="1" applyFill="1" applyBorder="1" applyAlignment="1">
      <alignment horizontal="center"/>
    </xf>
    <xf numFmtId="0" fontId="18" fillId="27" borderId="25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1" borderId="17" xfId="0" applyFont="1" applyFill="1" applyBorder="1" applyAlignment="1">
      <alignment horizontal="center"/>
    </xf>
    <xf numFmtId="0" fontId="18" fillId="11" borderId="18" xfId="0" applyFont="1" applyFill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11"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9.png"/><Relationship Id="rId1" Type="http://schemas.openxmlformats.org/officeDocument/2006/relationships/image" Target="../media/image7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18" Type="http://schemas.openxmlformats.org/officeDocument/2006/relationships/image" Target="../media/image97.png"/><Relationship Id="rId3" Type="http://schemas.openxmlformats.org/officeDocument/2006/relationships/image" Target="../media/image82.png"/><Relationship Id="rId21" Type="http://schemas.openxmlformats.org/officeDocument/2006/relationships/image" Target="../media/image100.png"/><Relationship Id="rId7" Type="http://schemas.openxmlformats.org/officeDocument/2006/relationships/image" Target="../media/image86.png"/><Relationship Id="rId12" Type="http://schemas.openxmlformats.org/officeDocument/2006/relationships/image" Target="../media/image91.png"/><Relationship Id="rId17" Type="http://schemas.openxmlformats.org/officeDocument/2006/relationships/image" Target="../media/image96.png"/><Relationship Id="rId2" Type="http://schemas.openxmlformats.org/officeDocument/2006/relationships/image" Target="../media/image81.png"/><Relationship Id="rId16" Type="http://schemas.openxmlformats.org/officeDocument/2006/relationships/image" Target="../media/image95.png"/><Relationship Id="rId20" Type="http://schemas.openxmlformats.org/officeDocument/2006/relationships/image" Target="../media/image99.png"/><Relationship Id="rId1" Type="http://schemas.openxmlformats.org/officeDocument/2006/relationships/image" Target="../media/image80.png"/><Relationship Id="rId6" Type="http://schemas.openxmlformats.org/officeDocument/2006/relationships/image" Target="../media/image85.png"/><Relationship Id="rId11" Type="http://schemas.openxmlformats.org/officeDocument/2006/relationships/image" Target="../media/image90.png"/><Relationship Id="rId5" Type="http://schemas.openxmlformats.org/officeDocument/2006/relationships/image" Target="../media/image84.png"/><Relationship Id="rId15" Type="http://schemas.openxmlformats.org/officeDocument/2006/relationships/image" Target="../media/image94.png"/><Relationship Id="rId23" Type="http://schemas.openxmlformats.org/officeDocument/2006/relationships/image" Target="../media/image102.jpg"/><Relationship Id="rId10" Type="http://schemas.openxmlformats.org/officeDocument/2006/relationships/image" Target="../media/image89.png"/><Relationship Id="rId19" Type="http://schemas.openxmlformats.org/officeDocument/2006/relationships/image" Target="../media/image98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Relationship Id="rId14" Type="http://schemas.openxmlformats.org/officeDocument/2006/relationships/image" Target="../media/image93.png"/><Relationship Id="rId22" Type="http://schemas.openxmlformats.org/officeDocument/2006/relationships/image" Target="../media/image10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png"/><Relationship Id="rId2" Type="http://schemas.openxmlformats.org/officeDocument/2006/relationships/image" Target="../media/image104.png"/><Relationship Id="rId1" Type="http://schemas.openxmlformats.org/officeDocument/2006/relationships/image" Target="../media/image103.png"/><Relationship Id="rId5" Type="http://schemas.openxmlformats.org/officeDocument/2006/relationships/image" Target="../media/image910.png"/><Relationship Id="rId4" Type="http://schemas.openxmlformats.org/officeDocument/2006/relationships/customXml" Target="../ink/ink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9.png"/><Relationship Id="rId2" Type="http://schemas.openxmlformats.org/officeDocument/2006/relationships/image" Target="../media/image108.png"/><Relationship Id="rId1" Type="http://schemas.openxmlformats.org/officeDocument/2006/relationships/image" Target="../media/image10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21" Type="http://schemas.openxmlformats.org/officeDocument/2006/relationships/image" Target="../media/image30.png"/><Relationship Id="rId34" Type="http://schemas.openxmlformats.org/officeDocument/2006/relationships/image" Target="../media/image43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2" Type="http://schemas.openxmlformats.org/officeDocument/2006/relationships/customXml" Target="../ink/ink1.xml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1" Type="http://schemas.openxmlformats.org/officeDocument/2006/relationships/image" Target="../media/image13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610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8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3" Type="http://schemas.openxmlformats.org/officeDocument/2006/relationships/image" Target="../media/image46.png"/><Relationship Id="rId7" Type="http://schemas.openxmlformats.org/officeDocument/2006/relationships/image" Target="../media/image50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6" Type="http://schemas.openxmlformats.org/officeDocument/2006/relationships/image" Target="../media/image49.png"/><Relationship Id="rId11" Type="http://schemas.openxmlformats.org/officeDocument/2006/relationships/image" Target="../media/image54.png"/><Relationship Id="rId5" Type="http://schemas.openxmlformats.org/officeDocument/2006/relationships/image" Target="../media/image48.png"/><Relationship Id="rId10" Type="http://schemas.openxmlformats.org/officeDocument/2006/relationships/image" Target="../media/image53.png"/><Relationship Id="rId4" Type="http://schemas.openxmlformats.org/officeDocument/2006/relationships/image" Target="../media/image47.png"/><Relationship Id="rId9" Type="http://schemas.openxmlformats.org/officeDocument/2006/relationships/image" Target="../media/image5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png"/><Relationship Id="rId2" Type="http://schemas.openxmlformats.org/officeDocument/2006/relationships/image" Target="../media/image61.png"/><Relationship Id="rId1" Type="http://schemas.openxmlformats.org/officeDocument/2006/relationships/image" Target="../media/image60.png"/><Relationship Id="rId6" Type="http://schemas.openxmlformats.org/officeDocument/2006/relationships/image" Target="../media/image65.png"/><Relationship Id="rId5" Type="http://schemas.openxmlformats.org/officeDocument/2006/relationships/image" Target="../media/image64.png"/><Relationship Id="rId4" Type="http://schemas.openxmlformats.org/officeDocument/2006/relationships/image" Target="../media/image6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png"/><Relationship Id="rId3" Type="http://schemas.openxmlformats.org/officeDocument/2006/relationships/image" Target="../media/image68.png"/><Relationship Id="rId7" Type="http://schemas.openxmlformats.org/officeDocument/2006/relationships/image" Target="../media/image72.png"/><Relationship Id="rId12" Type="http://schemas.openxmlformats.org/officeDocument/2006/relationships/image" Target="../media/image77.png"/><Relationship Id="rId2" Type="http://schemas.openxmlformats.org/officeDocument/2006/relationships/image" Target="../media/image67.png"/><Relationship Id="rId1" Type="http://schemas.openxmlformats.org/officeDocument/2006/relationships/image" Target="../media/image66.png"/><Relationship Id="rId6" Type="http://schemas.openxmlformats.org/officeDocument/2006/relationships/image" Target="../media/image71.png"/><Relationship Id="rId11" Type="http://schemas.openxmlformats.org/officeDocument/2006/relationships/image" Target="../media/image76.png"/><Relationship Id="rId5" Type="http://schemas.openxmlformats.org/officeDocument/2006/relationships/image" Target="../media/image70.png"/><Relationship Id="rId10" Type="http://schemas.openxmlformats.org/officeDocument/2006/relationships/image" Target="../media/image75.png"/><Relationship Id="rId4" Type="http://schemas.openxmlformats.org/officeDocument/2006/relationships/image" Target="../media/image69.png"/><Relationship Id="rId9" Type="http://schemas.openxmlformats.org/officeDocument/2006/relationships/image" Target="../media/image7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16</xdr:row>
      <xdr:rowOff>182879</xdr:rowOff>
    </xdr:from>
    <xdr:to>
      <xdr:col>16</xdr:col>
      <xdr:colOff>83820</xdr:colOff>
      <xdr:row>26</xdr:row>
      <xdr:rowOff>20398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3CDF2A-067B-4ADA-A14C-80D3E07A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240" y="3261359"/>
          <a:ext cx="2461260" cy="1666319"/>
        </a:xfrm>
        <a:prstGeom prst="rect">
          <a:avLst/>
        </a:prstGeom>
        <a:ln w="57150">
          <a:solidFill>
            <a:srgbClr val="FF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16</xdr:col>
      <xdr:colOff>168067</xdr:colOff>
      <xdr:row>21</xdr:row>
      <xdr:rowOff>45962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A3C54E-E682-483A-A178-1D8D7816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097280"/>
          <a:ext cx="4922947" cy="278916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16</xdr:col>
      <xdr:colOff>160446</xdr:colOff>
      <xdr:row>44</xdr:row>
      <xdr:rowOff>107006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740FB0-94FB-4E1E-85FB-E1566D94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4389120"/>
          <a:ext cx="4915326" cy="37646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11</xdr:col>
      <xdr:colOff>320387</xdr:colOff>
      <xdr:row>17</xdr:row>
      <xdr:rowOff>2607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639DDC-162E-4007-B358-79861E5F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591" y="545523"/>
          <a:ext cx="3506932" cy="26301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181840</xdr:rowOff>
    </xdr:from>
    <xdr:to>
      <xdr:col>14</xdr:col>
      <xdr:colOff>623455</xdr:colOff>
      <xdr:row>21</xdr:row>
      <xdr:rowOff>114699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202C63-10B3-499A-8F29-53A11F4F6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4773" y="545522"/>
          <a:ext cx="2216727" cy="3484951"/>
        </a:xfrm>
        <a:prstGeom prst="rect">
          <a:avLst/>
        </a:prstGeom>
      </xdr:spPr>
    </xdr:pic>
    <xdr:clientData/>
  </xdr:twoCellAnchor>
  <xdr:twoCellAnchor editAs="oneCell">
    <xdr:from>
      <xdr:col>7</xdr:col>
      <xdr:colOff>346364</xdr:colOff>
      <xdr:row>24</xdr:row>
      <xdr:rowOff>8658</xdr:rowOff>
    </xdr:from>
    <xdr:to>
      <xdr:col>10</xdr:col>
      <xdr:colOff>510887</xdr:colOff>
      <xdr:row>48</xdr:row>
      <xdr:rowOff>75532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2ECB15-D10E-476A-A875-AF4BFF16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7955" y="4520044"/>
          <a:ext cx="2554432" cy="4525267"/>
        </a:xfrm>
        <a:prstGeom prst="rect">
          <a:avLst/>
        </a:prstGeom>
      </xdr:spPr>
    </xdr:pic>
    <xdr:clientData/>
  </xdr:twoCellAnchor>
  <xdr:twoCellAnchor editAs="oneCell">
    <xdr:from>
      <xdr:col>11</xdr:col>
      <xdr:colOff>311728</xdr:colOff>
      <xdr:row>24</xdr:row>
      <xdr:rowOff>1</xdr:rowOff>
    </xdr:from>
    <xdr:to>
      <xdr:col>14</xdr:col>
      <xdr:colOff>355024</xdr:colOff>
      <xdr:row>45</xdr:row>
      <xdr:rowOff>93715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156CD73-6E99-46D6-8F55-215ED7677E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2065"/>
        <a:stretch/>
      </xdr:blipFill>
      <xdr:spPr>
        <a:xfrm>
          <a:off x="9299864" y="4511387"/>
          <a:ext cx="2433205" cy="4006583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53</xdr:row>
      <xdr:rowOff>0</xdr:rowOff>
    </xdr:from>
    <xdr:to>
      <xdr:col>17</xdr:col>
      <xdr:colOff>117232</xdr:colOff>
      <xdr:row>59</xdr:row>
      <xdr:rowOff>156308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CC806C-EA39-45D9-A38D-04E84C6EC7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4671"/>
        <a:stretch/>
      </xdr:blipFill>
      <xdr:spPr>
        <a:xfrm>
          <a:off x="6564924" y="10062308"/>
          <a:ext cx="8030308" cy="127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48847</xdr:colOff>
      <xdr:row>65</xdr:row>
      <xdr:rowOff>19539</xdr:rowOff>
    </xdr:from>
    <xdr:to>
      <xdr:col>10</xdr:col>
      <xdr:colOff>724345</xdr:colOff>
      <xdr:row>75</xdr:row>
      <xdr:rowOff>175259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171B1C4-B33E-4893-9655-D5DC1B53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4807" y="12219159"/>
          <a:ext cx="3052938" cy="2075961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66</xdr:row>
      <xdr:rowOff>53340</xdr:rowOff>
    </xdr:from>
    <xdr:to>
      <xdr:col>14</xdr:col>
      <xdr:colOff>406205</xdr:colOff>
      <xdr:row>89</xdr:row>
      <xdr:rowOff>55371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D1725E5-A320-4D3A-937B-3F6BB5F2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41180" y="12519660"/>
          <a:ext cx="2288345" cy="420827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76</xdr:row>
      <xdr:rowOff>114300</xdr:rowOff>
    </xdr:from>
    <xdr:to>
      <xdr:col>11</xdr:col>
      <xdr:colOff>7620</xdr:colOff>
      <xdr:row>90</xdr:row>
      <xdr:rowOff>67630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389EF26-777B-49C3-A28E-6B17B690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59780" y="14409420"/>
          <a:ext cx="3093720" cy="2513649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96</xdr:row>
      <xdr:rowOff>60960</xdr:rowOff>
    </xdr:from>
    <xdr:to>
      <xdr:col>11</xdr:col>
      <xdr:colOff>365760</xdr:colOff>
      <xdr:row>110</xdr:row>
      <xdr:rowOff>160947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F6E59EC-26CF-48C3-9F35-9DAB32B3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42660" y="18013680"/>
          <a:ext cx="3268980" cy="27593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97</xdr:row>
      <xdr:rowOff>182879</xdr:rowOff>
    </xdr:from>
    <xdr:to>
      <xdr:col>14</xdr:col>
      <xdr:colOff>510540</xdr:colOff>
      <xdr:row>117</xdr:row>
      <xdr:rowOff>150449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9CBA459-922F-4341-890F-5ED08A5A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38360" y="18318479"/>
          <a:ext cx="2095500" cy="3724231"/>
        </a:xfrm>
        <a:prstGeom prst="rect">
          <a:avLst/>
        </a:prstGeom>
      </xdr:spPr>
    </xdr:pic>
    <xdr:clientData/>
  </xdr:twoCellAnchor>
  <xdr:twoCellAnchor editAs="oneCell">
    <xdr:from>
      <xdr:col>15</xdr:col>
      <xdr:colOff>213360</xdr:colOff>
      <xdr:row>74</xdr:row>
      <xdr:rowOff>129540</xdr:rowOff>
    </xdr:from>
    <xdr:to>
      <xdr:col>17</xdr:col>
      <xdr:colOff>464979</xdr:colOff>
      <xdr:row>104</xdr:row>
      <xdr:rowOff>175748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A2E71E6-2BB0-4C59-A2BC-70EEC213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557760" y="14058900"/>
          <a:ext cx="1836579" cy="5631668"/>
        </a:xfrm>
        <a:prstGeom prst="rect">
          <a:avLst/>
        </a:prstGeom>
      </xdr:spPr>
    </xdr:pic>
    <xdr:clientData/>
  </xdr:twoCellAnchor>
  <xdr:twoCellAnchor editAs="oneCell">
    <xdr:from>
      <xdr:col>1</xdr:col>
      <xdr:colOff>777240</xdr:colOff>
      <xdr:row>78</xdr:row>
      <xdr:rowOff>15239</xdr:rowOff>
    </xdr:from>
    <xdr:to>
      <xdr:col>4</xdr:col>
      <xdr:colOff>694806</xdr:colOff>
      <xdr:row>87</xdr:row>
      <xdr:rowOff>129306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0100DEB-B462-4A0B-BD75-C208D896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9720" y="14676119"/>
          <a:ext cx="2918460" cy="1759987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88</xdr:row>
      <xdr:rowOff>15240</xdr:rowOff>
    </xdr:from>
    <xdr:to>
      <xdr:col>4</xdr:col>
      <xdr:colOff>515387</xdr:colOff>
      <xdr:row>91</xdr:row>
      <xdr:rowOff>1680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C6EB22B-15A6-4739-B681-07B098AEB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45920" y="16504920"/>
          <a:ext cx="2666998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562708</xdr:colOff>
      <xdr:row>118</xdr:row>
      <xdr:rowOff>152401</xdr:rowOff>
    </xdr:from>
    <xdr:to>
      <xdr:col>10</xdr:col>
      <xdr:colOff>731448</xdr:colOff>
      <xdr:row>143</xdr:row>
      <xdr:rowOff>112939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BE3FE1B-6DBE-47DA-8FD7-35465E5E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89435" y="22103196"/>
          <a:ext cx="2558649" cy="4618759"/>
        </a:xfrm>
        <a:prstGeom prst="rect">
          <a:avLst/>
        </a:prstGeom>
      </xdr:spPr>
    </xdr:pic>
    <xdr:clientData/>
  </xdr:twoCellAnchor>
  <xdr:twoCellAnchor editAs="oneCell">
    <xdr:from>
      <xdr:col>11</xdr:col>
      <xdr:colOff>790486</xdr:colOff>
      <xdr:row>119</xdr:row>
      <xdr:rowOff>0</xdr:rowOff>
    </xdr:from>
    <xdr:to>
      <xdr:col>14</xdr:col>
      <xdr:colOff>347055</xdr:colOff>
      <xdr:row>144</xdr:row>
      <xdr:rowOff>52750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A614630-1ED6-46F1-82AA-9A986B30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41607" y="22489682"/>
          <a:ext cx="1928027" cy="480101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17</xdr:col>
      <xdr:colOff>750950</xdr:colOff>
      <xdr:row>144</xdr:row>
      <xdr:rowOff>7026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05A3247-8134-4B7C-A232-47607AF9B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313065" y="22489682"/>
          <a:ext cx="2331922" cy="4755292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163</xdr:row>
      <xdr:rowOff>7620</xdr:rowOff>
    </xdr:from>
    <xdr:to>
      <xdr:col>11</xdr:col>
      <xdr:colOff>175481</xdr:colOff>
      <xdr:row>189</xdr:row>
      <xdr:rowOff>38516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557801F-EF31-4F2F-BCFB-53D51F81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88480" y="28186380"/>
          <a:ext cx="2545301" cy="47857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163</xdr:row>
      <xdr:rowOff>0</xdr:rowOff>
    </xdr:from>
    <xdr:to>
      <xdr:col>14</xdr:col>
      <xdr:colOff>365929</xdr:colOff>
      <xdr:row>188</xdr:row>
      <xdr:rowOff>160432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375257E-8B46-4444-A282-645CD314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50780" y="28178760"/>
          <a:ext cx="1950889" cy="4732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17</xdr:col>
      <xdr:colOff>716479</xdr:colOff>
      <xdr:row>188</xdr:row>
      <xdr:rowOff>168053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93BE626-57D0-4623-8B61-D2952675E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428220" y="28178760"/>
          <a:ext cx="2301439" cy="47400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195</xdr:row>
      <xdr:rowOff>0</xdr:rowOff>
    </xdr:from>
    <xdr:to>
      <xdr:col>14</xdr:col>
      <xdr:colOff>411928</xdr:colOff>
      <xdr:row>210</xdr:row>
      <xdr:rowOff>106936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E9C8F7-2B14-4F0A-A7B8-704F6BF1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80860" y="34030920"/>
          <a:ext cx="5166808" cy="2941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214</xdr:row>
      <xdr:rowOff>0</xdr:rowOff>
    </xdr:from>
    <xdr:to>
      <xdr:col>14</xdr:col>
      <xdr:colOff>175687</xdr:colOff>
      <xdr:row>224</xdr:row>
      <xdr:rowOff>61132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52E096-56F2-40CF-9594-4C09E7806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80860" y="37505640"/>
          <a:ext cx="4930567" cy="198137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227</xdr:row>
      <xdr:rowOff>0</xdr:rowOff>
    </xdr:from>
    <xdr:to>
      <xdr:col>14</xdr:col>
      <xdr:colOff>137584</xdr:colOff>
      <xdr:row>237</xdr:row>
      <xdr:rowOff>53513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1947DEB-A3EB-4833-8211-42B71C8C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80860" y="39883080"/>
          <a:ext cx="4892464" cy="1981372"/>
        </a:xfrm>
        <a:prstGeom prst="rect">
          <a:avLst/>
        </a:prstGeom>
      </xdr:spPr>
    </xdr:pic>
    <xdr:clientData/>
  </xdr:twoCellAnchor>
  <xdr:twoCellAnchor>
    <xdr:from>
      <xdr:col>24</xdr:col>
      <xdr:colOff>205945</xdr:colOff>
      <xdr:row>25</xdr:row>
      <xdr:rowOff>97359</xdr:rowOff>
    </xdr:from>
    <xdr:to>
      <xdr:col>36</xdr:col>
      <xdr:colOff>282101</xdr:colOff>
      <xdr:row>34</xdr:row>
      <xdr:rowOff>108117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FE62E8FF-C9D4-4F1A-8790-4C4BCF36EB5D}"/>
            </a:ext>
          </a:extLst>
        </xdr:cNvPr>
        <xdr:cNvSpPr txBox="1"/>
      </xdr:nvSpPr>
      <xdr:spPr>
        <a:xfrm>
          <a:off x="19760992" y="4935173"/>
          <a:ext cx="9539132" cy="1685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9600">
              <a:solidFill>
                <a:srgbClr val="FF0000"/>
              </a:solidFill>
            </a:rPr>
            <a:t>Trains planétaire</a:t>
          </a:r>
        </a:p>
      </xdr:txBody>
    </xdr:sp>
    <xdr:clientData/>
  </xdr:twoCellAnchor>
  <xdr:oneCellAnchor>
    <xdr:from>
      <xdr:col>0</xdr:col>
      <xdr:colOff>617007</xdr:colOff>
      <xdr:row>135</xdr:row>
      <xdr:rowOff>113181</xdr:rowOff>
    </xdr:from>
    <xdr:ext cx="3930178" cy="405432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503D1796-A881-4E72-8373-C37F370BDB46}"/>
            </a:ext>
          </a:extLst>
        </xdr:cNvPr>
        <xdr:cNvSpPr txBox="1"/>
      </xdr:nvSpPr>
      <xdr:spPr>
        <a:xfrm rot="19786217">
          <a:off x="617007" y="25516241"/>
          <a:ext cx="3930178" cy="40543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2000">
              <a:solidFill>
                <a:srgbClr val="FF0000"/>
              </a:solidFill>
            </a:rPr>
            <a:t>Pas pris en compte dans les calcules</a:t>
          </a:r>
        </a:p>
      </xdr:txBody>
    </xdr:sp>
    <xdr:clientData/>
  </xdr:oneCellAnchor>
  <xdr:twoCellAnchor editAs="oneCell">
    <xdr:from>
      <xdr:col>24</xdr:col>
      <xdr:colOff>35440</xdr:colOff>
      <xdr:row>9</xdr:row>
      <xdr:rowOff>174094</xdr:rowOff>
    </xdr:from>
    <xdr:to>
      <xdr:col>27</xdr:col>
      <xdr:colOff>241388</xdr:colOff>
      <xdr:row>29</xdr:row>
      <xdr:rowOff>133375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F26333E-49BE-40E4-99DD-4ACFD4CB5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6124" r="14696" b="11740"/>
        <a:stretch/>
      </xdr:blipFill>
      <xdr:spPr>
        <a:xfrm>
          <a:off x="19590487" y="1937327"/>
          <a:ext cx="2571692" cy="3778141"/>
        </a:xfrm>
        <a:prstGeom prst="rect">
          <a:avLst/>
        </a:prstGeom>
      </xdr:spPr>
    </xdr:pic>
    <xdr:clientData/>
  </xdr:twoCellAnchor>
  <xdr:twoCellAnchor>
    <xdr:from>
      <xdr:col>17</xdr:col>
      <xdr:colOff>549349</xdr:colOff>
      <xdr:row>2</xdr:row>
      <xdr:rowOff>26581</xdr:rowOff>
    </xdr:from>
    <xdr:to>
      <xdr:col>24</xdr:col>
      <xdr:colOff>513906</xdr:colOff>
      <xdr:row>5</xdr:row>
      <xdr:rowOff>17721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1B10CBA4-D297-4917-871F-AAEA56B234C5}"/>
            </a:ext>
          </a:extLst>
        </xdr:cNvPr>
        <xdr:cNvSpPr txBox="1"/>
      </xdr:nvSpPr>
      <xdr:spPr>
        <a:xfrm>
          <a:off x="14584326" y="398721"/>
          <a:ext cx="5484627" cy="637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2000" b="1">
              <a:solidFill>
                <a:srgbClr val="FF0000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Calcul du train épicycloïdal (toutcalculer.com)</a:t>
          </a:r>
          <a:endParaRPr lang="fr-CH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16</xdr:col>
      <xdr:colOff>183308</xdr:colOff>
      <xdr:row>30</xdr:row>
      <xdr:rowOff>129997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E5FE41-C836-4A02-B36C-CF61D01A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2320" y="731520"/>
          <a:ext cx="4938188" cy="527349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16</xdr:col>
      <xdr:colOff>68998</xdr:colOff>
      <xdr:row>42</xdr:row>
      <xdr:rowOff>122034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A28698-6B59-418E-869A-76C6A275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2320" y="6583680"/>
          <a:ext cx="4823878" cy="13183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30480</xdr:rowOff>
    </xdr:from>
    <xdr:to>
      <xdr:col>15</xdr:col>
      <xdr:colOff>640479</xdr:colOff>
      <xdr:row>80</xdr:row>
      <xdr:rowOff>122475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D9C49D6-407A-4B7C-A3A8-D2B20AB3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8520" y="8938260"/>
          <a:ext cx="4602879" cy="6401355"/>
        </a:xfrm>
        <a:prstGeom prst="rect">
          <a:avLst/>
        </a:prstGeom>
      </xdr:spPr>
    </xdr:pic>
    <xdr:clientData/>
  </xdr:twoCellAnchor>
  <xdr:twoCellAnchor editAs="oneCell">
    <xdr:from>
      <xdr:col>13</xdr:col>
      <xdr:colOff>677640</xdr:colOff>
      <xdr:row>47</xdr:row>
      <xdr:rowOff>20760</xdr:rowOff>
    </xdr:from>
    <xdr:to>
      <xdr:col>14</xdr:col>
      <xdr:colOff>505800</xdr:colOff>
      <xdr:row>50</xdr:row>
      <xdr:rowOff>53160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Encre 5">
              <a:extLst>
                <a:ext uri="{FF2B5EF4-FFF2-40B4-BE49-F238E27FC236}">
                  <a16:creationId xmlns:a16="http://schemas.microsoft.com/office/drawing/2014/main" id="{537EAF71-CFC8-4256-83E0-4F628EA077AB}"/>
                </a:ext>
              </a:extLst>
            </xdr14:cNvPr>
            <xdr14:cNvContentPartPr/>
          </xdr14:nvContentPartPr>
          <xdr14:nvPr macro=""/>
          <xdr14:xfrm>
            <a:off x="10263600" y="9210480"/>
            <a:ext cx="620640" cy="581040"/>
          </xdr14:xfrm>
        </xdr:contentPart>
      </mc:Choice>
      <mc:Fallback xmlns="">
        <xdr:pic>
          <xdr:nvPicPr>
            <xdr:cNvPr id="6" name="Encre 5">
              <a:extLst>
                <a:ext uri="{FF2B5EF4-FFF2-40B4-BE49-F238E27FC236}">
                  <a16:creationId xmlns:a16="http://schemas.microsoft.com/office/drawing/2014/main" id="{537EAF71-CFC8-4256-83E0-4F628EA077A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254600" y="9201480"/>
              <a:ext cx="638280" cy="598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449580</xdr:colOff>
      <xdr:row>1</xdr:row>
      <xdr:rowOff>106680</xdr:rowOff>
    </xdr:from>
    <xdr:to>
      <xdr:col>12</xdr:col>
      <xdr:colOff>213752</xdr:colOff>
      <xdr:row>36</xdr:row>
      <xdr:rowOff>31028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D314A9-CBD6-44D3-A3DF-E8A400BE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289560"/>
          <a:ext cx="4519052" cy="63251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13</xdr:col>
      <xdr:colOff>190997</xdr:colOff>
      <xdr:row>28</xdr:row>
      <xdr:rowOff>99473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B355EA-490E-46E3-8CEA-F78688180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480" y="556260"/>
          <a:ext cx="5738357" cy="47629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13</xdr:col>
      <xdr:colOff>693961</xdr:colOff>
      <xdr:row>49</xdr:row>
      <xdr:rowOff>23163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2D3A4D-EE86-4139-BD28-6BFE0FA4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2480" y="5585460"/>
          <a:ext cx="6241321" cy="349788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13</xdr:col>
      <xdr:colOff>632996</xdr:colOff>
      <xdr:row>67</xdr:row>
      <xdr:rowOff>68840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825F0FF-63F3-4D9E-A50A-4F96ED96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2480" y="9425940"/>
          <a:ext cx="6180356" cy="29949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18</xdr:col>
      <xdr:colOff>389203</xdr:colOff>
      <xdr:row>25</xdr:row>
      <xdr:rowOff>145110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09AF9C-85E4-4976-AFD4-28B88B5E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914400"/>
          <a:ext cx="6729043" cy="380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606812</xdr:colOff>
      <xdr:row>2</xdr:row>
      <xdr:rowOff>185441</xdr:rowOff>
    </xdr:from>
    <xdr:to>
      <xdr:col>28</xdr:col>
      <xdr:colOff>498370</xdr:colOff>
      <xdr:row>19</xdr:row>
      <xdr:rowOff>150028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8AC29F-720E-49AC-9070-D4600390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69338" y="559757"/>
          <a:ext cx="6361874" cy="3655844"/>
        </a:xfrm>
        <a:prstGeom prst="rect">
          <a:avLst/>
        </a:prstGeom>
      </xdr:spPr>
    </xdr:pic>
    <xdr:clientData/>
  </xdr:twoCellAnchor>
  <xdr:twoCellAnchor editAs="oneCell">
    <xdr:from>
      <xdr:col>0</xdr:col>
      <xdr:colOff>151493</xdr:colOff>
      <xdr:row>82</xdr:row>
      <xdr:rowOff>35106</xdr:rowOff>
    </xdr:from>
    <xdr:to>
      <xdr:col>7</xdr:col>
      <xdr:colOff>510272</xdr:colOff>
      <xdr:row>114</xdr:row>
      <xdr:rowOff>49804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2C4217-9604-47D2-880A-74FE4BC7E4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20" t="14713" r="15710" b="12661"/>
        <a:stretch/>
      </xdr:blipFill>
      <xdr:spPr>
        <a:xfrm>
          <a:off x="151493" y="16080649"/>
          <a:ext cx="4843693" cy="6156190"/>
        </a:xfrm>
        <a:prstGeom prst="rect">
          <a:avLst/>
        </a:prstGeom>
      </xdr:spPr>
    </xdr:pic>
    <xdr:clientData/>
  </xdr:twoCellAnchor>
  <xdr:twoCellAnchor editAs="oneCell">
    <xdr:from>
      <xdr:col>8</xdr:col>
      <xdr:colOff>210118</xdr:colOff>
      <xdr:row>82</xdr:row>
      <xdr:rowOff>9254</xdr:rowOff>
    </xdr:from>
    <xdr:to>
      <xdr:col>13</xdr:col>
      <xdr:colOff>694262</xdr:colOff>
      <xdr:row>114</xdr:row>
      <xdr:rowOff>63511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FEDDEE-3701-47A9-9381-3EA8D2C13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9" r="13535" b="21490"/>
        <a:stretch/>
      </xdr:blipFill>
      <xdr:spPr>
        <a:xfrm>
          <a:off x="5555491" y="15852030"/>
          <a:ext cx="4862801" cy="6468704"/>
        </a:xfrm>
        <a:prstGeom prst="rect">
          <a:avLst/>
        </a:prstGeom>
      </xdr:spPr>
    </xdr:pic>
    <xdr:clientData/>
  </xdr:twoCellAnchor>
  <xdr:twoCellAnchor editAs="oneCell">
    <xdr:from>
      <xdr:col>12</xdr:col>
      <xdr:colOff>134264</xdr:colOff>
      <xdr:row>2</xdr:row>
      <xdr:rowOff>166242</xdr:rowOff>
    </xdr:from>
    <xdr:to>
      <xdr:col>19</xdr:col>
      <xdr:colOff>600296</xdr:colOff>
      <xdr:row>34</xdr:row>
      <xdr:rowOff>65702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0F996B-BC79-4B80-8FC4-6B6EEC0D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2070" y="534952"/>
          <a:ext cx="5492774" cy="6317659"/>
        </a:xfrm>
        <a:prstGeom prst="rect">
          <a:avLst/>
        </a:prstGeom>
      </xdr:spPr>
    </xdr:pic>
    <xdr:clientData/>
  </xdr:twoCellAnchor>
  <xdr:twoCellAnchor editAs="oneCell">
    <xdr:from>
      <xdr:col>10</xdr:col>
      <xdr:colOff>784973</xdr:colOff>
      <xdr:row>35</xdr:row>
      <xdr:rowOff>72230</xdr:rowOff>
    </xdr:from>
    <xdr:to>
      <xdr:col>20</xdr:col>
      <xdr:colOff>63856</xdr:colOff>
      <xdr:row>64</xdr:row>
      <xdr:rowOff>133840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15D11D7-A359-4E87-8096-1214DED56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981"/>
        <a:stretch/>
      </xdr:blipFill>
      <xdr:spPr>
        <a:xfrm>
          <a:off x="7816762" y="7117388"/>
          <a:ext cx="6698357" cy="5931134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36</xdr:col>
      <xdr:colOff>216333</xdr:colOff>
      <xdr:row>32</xdr:row>
      <xdr:rowOff>104960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6DF7848-ACA8-4D98-80BB-73F8A4BC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759333" y="558800"/>
          <a:ext cx="4991533" cy="601270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38</xdr:row>
      <xdr:rowOff>0</xdr:rowOff>
    </xdr:from>
    <xdr:to>
      <xdr:col>27</xdr:col>
      <xdr:colOff>349202</xdr:colOff>
      <xdr:row>67</xdr:row>
      <xdr:rowOff>94541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B128919-F6AB-469F-A9CE-5D773BD6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392400" y="7569200"/>
          <a:ext cx="4328535" cy="5913632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37</xdr:row>
      <xdr:rowOff>0</xdr:rowOff>
    </xdr:from>
    <xdr:to>
      <xdr:col>34</xdr:col>
      <xdr:colOff>364443</xdr:colOff>
      <xdr:row>58</xdr:row>
      <xdr:rowOff>37681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63CCAB9-DBD0-4806-A0BB-A28903B4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63467" y="7382933"/>
          <a:ext cx="4343776" cy="4366638"/>
        </a:xfrm>
        <a:prstGeom prst="rect">
          <a:avLst/>
        </a:prstGeom>
      </xdr:spPr>
    </xdr:pic>
    <xdr:clientData/>
  </xdr:twoCellAnchor>
  <xdr:twoCellAnchor editAs="oneCell">
    <xdr:from>
      <xdr:col>14</xdr:col>
      <xdr:colOff>56865</xdr:colOff>
      <xdr:row>96</xdr:row>
      <xdr:rowOff>79610</xdr:rowOff>
    </xdr:from>
    <xdr:to>
      <xdr:col>21</xdr:col>
      <xdr:colOff>56865</xdr:colOff>
      <xdr:row>106</xdr:row>
      <xdr:rowOff>79611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3F890E5-69A9-4798-BE36-72F0D559B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4350" t="22066" r="24834" b="9056"/>
        <a:stretch/>
      </xdr:blipFill>
      <xdr:spPr>
        <a:xfrm rot="16200000">
          <a:off x="12089641" y="17969551"/>
          <a:ext cx="1819702" cy="4094328"/>
        </a:xfrm>
        <a:prstGeom prst="rect">
          <a:avLst/>
        </a:prstGeom>
      </xdr:spPr>
    </xdr:pic>
    <xdr:clientData/>
  </xdr:twoCellAnchor>
  <xdr:twoCellAnchor editAs="oneCell">
    <xdr:from>
      <xdr:col>23</xdr:col>
      <xdr:colOff>633211</xdr:colOff>
      <xdr:row>93</xdr:row>
      <xdr:rowOff>1</xdr:rowOff>
    </xdr:from>
    <xdr:to>
      <xdr:col>28</xdr:col>
      <xdr:colOff>362889</xdr:colOff>
      <xdr:row>120</xdr:row>
      <xdr:rowOff>21900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DEB0D4D-F250-480F-96F7-10FFDC83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860591" y="18513381"/>
          <a:ext cx="3700664" cy="4948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647700</xdr:colOff>
      <xdr:row>1</xdr:row>
      <xdr:rowOff>144780</xdr:rowOff>
    </xdr:from>
    <xdr:to>
      <xdr:col>18</xdr:col>
      <xdr:colOff>267285</xdr:colOff>
      <xdr:row>28</xdr:row>
      <xdr:rowOff>69543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7EE221-E97C-4C31-AE74-024D49DF1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960" y="327660"/>
          <a:ext cx="6751905" cy="50601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128257</xdr:colOff>
      <xdr:row>6</xdr:row>
      <xdr:rowOff>120713</xdr:rowOff>
    </xdr:from>
    <xdr:to>
      <xdr:col>1</xdr:col>
      <xdr:colOff>754457</xdr:colOff>
      <xdr:row>14</xdr:row>
      <xdr:rowOff>9848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8428EB-2DF0-42BB-9ACF-8E96B0E5C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050" t="5689"/>
        <a:stretch/>
      </xdr:blipFill>
      <xdr:spPr>
        <a:xfrm>
          <a:off x="128257" y="120713"/>
          <a:ext cx="1418378" cy="1420681"/>
        </a:xfrm>
        <a:prstGeom prst="rect">
          <a:avLst/>
        </a:prstGeom>
      </xdr:spPr>
    </xdr:pic>
    <xdr:clientData/>
  </xdr:twoCellAnchor>
  <xdr:twoCellAnchor editAs="oneCell">
    <xdr:from>
      <xdr:col>0</xdr:col>
      <xdr:colOff>444960</xdr:colOff>
      <xdr:row>18</xdr:row>
      <xdr:rowOff>45445</xdr:rowOff>
    </xdr:from>
    <xdr:to>
      <xdr:col>0</xdr:col>
      <xdr:colOff>445320</xdr:colOff>
      <xdr:row>18</xdr:row>
      <xdr:rowOff>45805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0" name="Encre 9">
              <a:extLst>
                <a:ext uri="{FF2B5EF4-FFF2-40B4-BE49-F238E27FC236}">
                  <a16:creationId xmlns:a16="http://schemas.microsoft.com/office/drawing/2014/main" id="{AD362FA6-F376-4115-B9A5-F811D1E34A92}"/>
                </a:ext>
              </a:extLst>
            </xdr14:cNvPr>
            <xdr14:cNvContentPartPr/>
          </xdr14:nvContentPartPr>
          <xdr14:nvPr macro=""/>
          <xdr14:xfrm>
            <a:off x="444960" y="2301267"/>
            <a:ext cx="360" cy="360"/>
          </xdr14:xfrm>
        </xdr:contentPart>
      </mc:Choice>
      <mc:Fallback xmlns="">
        <xdr:pic>
          <xdr:nvPicPr>
            <xdr:cNvPr id="10" name="Encre 9">
              <a:extLst>
                <a:ext uri="{FF2B5EF4-FFF2-40B4-BE49-F238E27FC236}">
                  <a16:creationId xmlns:a16="http://schemas.microsoft.com/office/drawing/2014/main" id="{AD362FA6-F376-4115-B9A5-F811D1E34A9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82320" y="2238267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60358</xdr:colOff>
      <xdr:row>17</xdr:row>
      <xdr:rowOff>30180</xdr:rowOff>
    </xdr:from>
    <xdr:to>
      <xdr:col>2</xdr:col>
      <xdr:colOff>274213</xdr:colOff>
      <xdr:row>24</xdr:row>
      <xdr:rowOff>90535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B1CE3E5-68EC-4504-BE85-210CB324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358" y="2104932"/>
          <a:ext cx="1798211" cy="1410831"/>
        </a:xfrm>
        <a:prstGeom prst="rect">
          <a:avLst/>
        </a:prstGeom>
      </xdr:spPr>
    </xdr:pic>
    <xdr:clientData/>
  </xdr:twoCellAnchor>
  <xdr:twoCellAnchor editAs="oneCell">
    <xdr:from>
      <xdr:col>0</xdr:col>
      <xdr:colOff>52811</xdr:colOff>
      <xdr:row>29</xdr:row>
      <xdr:rowOff>105623</xdr:rowOff>
    </xdr:from>
    <xdr:to>
      <xdr:col>2</xdr:col>
      <xdr:colOff>573386</xdr:colOff>
      <xdr:row>35</xdr:row>
      <xdr:rowOff>75625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36BE19C-8F88-49F8-B9A4-4EFFAFEDB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811" y="4436197"/>
          <a:ext cx="2104931" cy="113940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39</xdr:row>
      <xdr:rowOff>108857</xdr:rowOff>
    </xdr:from>
    <xdr:to>
      <xdr:col>2</xdr:col>
      <xdr:colOff>595086</xdr:colOff>
      <xdr:row>48</xdr:row>
      <xdr:rowOff>57569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9B5833B-3FE6-428D-88D1-2DCA8C04B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556"/>
        <a:stretch/>
      </xdr:blipFill>
      <xdr:spPr>
        <a:xfrm>
          <a:off x="254000" y="6357257"/>
          <a:ext cx="1923143" cy="1668655"/>
        </a:xfrm>
        <a:prstGeom prst="rect">
          <a:avLst/>
        </a:prstGeom>
      </xdr:spPr>
    </xdr:pic>
    <xdr:clientData/>
  </xdr:twoCellAnchor>
  <xdr:twoCellAnchor editAs="oneCell">
    <xdr:from>
      <xdr:col>0</xdr:col>
      <xdr:colOff>246743</xdr:colOff>
      <xdr:row>52</xdr:row>
      <xdr:rowOff>108857</xdr:rowOff>
    </xdr:from>
    <xdr:to>
      <xdr:col>3</xdr:col>
      <xdr:colOff>315302</xdr:colOff>
      <xdr:row>61</xdr:row>
      <xdr:rowOff>159658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AC379A-339D-4D87-8A09-48AEFE05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743" y="8802914"/>
          <a:ext cx="2441645" cy="1770743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72</xdr:row>
      <xdr:rowOff>14514</xdr:rowOff>
    </xdr:from>
    <xdr:to>
      <xdr:col>3</xdr:col>
      <xdr:colOff>543069</xdr:colOff>
      <xdr:row>85</xdr:row>
      <xdr:rowOff>68434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BC09F69-0E35-4E45-8284-37F75273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200" y="11335657"/>
          <a:ext cx="2712955" cy="2499577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88</xdr:row>
      <xdr:rowOff>21771</xdr:rowOff>
    </xdr:from>
    <xdr:to>
      <xdr:col>3</xdr:col>
      <xdr:colOff>609600</xdr:colOff>
      <xdr:row>98</xdr:row>
      <xdr:rowOff>135202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761270-1FB2-4353-85C3-DA2FD2033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8115" y="14332857"/>
          <a:ext cx="2104571" cy="2014802"/>
        </a:xfrm>
        <a:prstGeom prst="rect">
          <a:avLst/>
        </a:prstGeom>
      </xdr:spPr>
    </xdr:pic>
    <xdr:clientData/>
  </xdr:twoCellAnchor>
  <xdr:twoCellAnchor editAs="oneCell">
    <xdr:from>
      <xdr:col>0</xdr:col>
      <xdr:colOff>65315</xdr:colOff>
      <xdr:row>99</xdr:row>
      <xdr:rowOff>131287</xdr:rowOff>
    </xdr:from>
    <xdr:to>
      <xdr:col>3</xdr:col>
      <xdr:colOff>626481</xdr:colOff>
      <xdr:row>112</xdr:row>
      <xdr:rowOff>137680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E04E8A3-B9CD-4D35-9881-32F7161C4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315" y="16525173"/>
          <a:ext cx="2934252" cy="2452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181428</xdr:rowOff>
    </xdr:from>
    <xdr:to>
      <xdr:col>3</xdr:col>
      <xdr:colOff>465503</xdr:colOff>
      <xdr:row>126</xdr:row>
      <xdr:rowOff>7257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F0C9BAA-8E21-4281-ACFB-456C23D9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9383828"/>
          <a:ext cx="2838589" cy="209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</xdr:col>
      <xdr:colOff>732971</xdr:colOff>
      <xdr:row>140</xdr:row>
      <xdr:rowOff>37951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CE5E2F3-C1D8-46CF-9BE5-46BAC9F7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2010914"/>
          <a:ext cx="3106057" cy="2120751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</xdr:colOff>
      <xdr:row>148</xdr:row>
      <xdr:rowOff>14514</xdr:rowOff>
    </xdr:from>
    <xdr:to>
      <xdr:col>3</xdr:col>
      <xdr:colOff>732971</xdr:colOff>
      <xdr:row>166</xdr:row>
      <xdr:rowOff>3910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DBCCAE-B308-47AC-871B-3417147AA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314" y="24652514"/>
          <a:ext cx="3040743" cy="3342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3</xdr:col>
      <xdr:colOff>856343</xdr:colOff>
      <xdr:row>183</xdr:row>
      <xdr:rowOff>103056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60145A8-15B7-4EF6-9E12-FA88998D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8535086"/>
          <a:ext cx="3229429" cy="2730142"/>
        </a:xfrm>
        <a:prstGeom prst="rect">
          <a:avLst/>
        </a:prstGeom>
      </xdr:spPr>
    </xdr:pic>
    <xdr:clientData/>
  </xdr:twoCellAnchor>
  <xdr:twoCellAnchor editAs="oneCell">
    <xdr:from>
      <xdr:col>0</xdr:col>
      <xdr:colOff>79828</xdr:colOff>
      <xdr:row>186</xdr:row>
      <xdr:rowOff>137886</xdr:rowOff>
    </xdr:from>
    <xdr:to>
      <xdr:col>3</xdr:col>
      <xdr:colOff>805542</xdr:colOff>
      <xdr:row>201</xdr:row>
      <xdr:rowOff>132042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F4F7F24-7DDA-4D94-B3B8-25462E76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828" y="31844343"/>
          <a:ext cx="3098800" cy="2802670"/>
        </a:xfrm>
        <a:prstGeom prst="rect">
          <a:avLst/>
        </a:prstGeom>
      </xdr:spPr>
    </xdr:pic>
    <xdr:clientData/>
  </xdr:twoCellAnchor>
  <xdr:twoCellAnchor editAs="oneCell">
    <xdr:from>
      <xdr:col>0</xdr:col>
      <xdr:colOff>94343</xdr:colOff>
      <xdr:row>205</xdr:row>
      <xdr:rowOff>0</xdr:rowOff>
    </xdr:from>
    <xdr:to>
      <xdr:col>3</xdr:col>
      <xdr:colOff>682171</xdr:colOff>
      <xdr:row>220</xdr:row>
      <xdr:rowOff>110401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180C64-2D9C-4A96-B0B6-4F8B7101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4343" y="35240686"/>
          <a:ext cx="2960914" cy="29189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669343</xdr:colOff>
      <xdr:row>4</xdr:row>
      <xdr:rowOff>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4E436C7-F8F2-4CB0-91BD-B39DFCE1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1029" y="181429"/>
          <a:ext cx="11337343" cy="544285"/>
        </a:xfrm>
        <a:prstGeom prst="rect">
          <a:avLst/>
        </a:prstGeom>
      </xdr:spPr>
    </xdr:pic>
    <xdr:clientData/>
  </xdr:twoCellAnchor>
  <xdr:twoCellAnchor editAs="oneCell">
    <xdr:from>
      <xdr:col>8</xdr:col>
      <xdr:colOff>478971</xdr:colOff>
      <xdr:row>7</xdr:row>
      <xdr:rowOff>7257</xdr:rowOff>
    </xdr:from>
    <xdr:to>
      <xdr:col>16</xdr:col>
      <xdr:colOff>428797</xdr:colOff>
      <xdr:row>15</xdr:row>
      <xdr:rowOff>87086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6BAFBCB6-E928-435F-A7E0-F135C15FD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1828" y="1277257"/>
          <a:ext cx="6278055" cy="16183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14</xdr:col>
      <xdr:colOff>696685</xdr:colOff>
      <xdr:row>27</xdr:row>
      <xdr:rowOff>69404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6119C0E-6463-428A-A809-D769DC389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12857" y="3352800"/>
          <a:ext cx="5442857" cy="178934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14</xdr:col>
      <xdr:colOff>413015</xdr:colOff>
      <xdr:row>35</xdr:row>
      <xdr:rowOff>127476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B012F815-6A78-4E4B-9563-2D8C4ACC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12857" y="5435600"/>
          <a:ext cx="5159187" cy="130313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15</xdr:col>
      <xdr:colOff>481602</xdr:colOff>
      <xdr:row>48</xdr:row>
      <xdr:rowOff>23721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FB659F5-DA32-48A5-8A32-C4EF6DEF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03886" y="7518400"/>
          <a:ext cx="5227773" cy="15622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13</xdr:col>
      <xdr:colOff>304806</xdr:colOff>
      <xdr:row>59</xdr:row>
      <xdr:rowOff>167047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6F2E900-80B2-4F6D-877A-278FD703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12857" y="9782629"/>
          <a:ext cx="4259949" cy="1524132"/>
        </a:xfrm>
        <a:prstGeom prst="rect">
          <a:avLst/>
        </a:prstGeom>
      </xdr:spPr>
    </xdr:pic>
    <xdr:clientData/>
  </xdr:twoCellAnchor>
  <xdr:twoCellAnchor editAs="oneCell">
    <xdr:from>
      <xdr:col>0</xdr:col>
      <xdr:colOff>791028</xdr:colOff>
      <xdr:row>65</xdr:row>
      <xdr:rowOff>166914</xdr:rowOff>
    </xdr:from>
    <xdr:to>
      <xdr:col>13</xdr:col>
      <xdr:colOff>713093</xdr:colOff>
      <xdr:row>70</xdr:row>
      <xdr:rowOff>2934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9B2BBD7-5370-45E4-8932-713CC2A7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1028" y="12395200"/>
          <a:ext cx="10590065" cy="74316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14</xdr:col>
      <xdr:colOff>440457</xdr:colOff>
      <xdr:row>81</xdr:row>
      <xdr:rowOff>70912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F2CD8698-EFCE-4888-A663-91D1EF3D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94914" y="13498286"/>
          <a:ext cx="3604572" cy="17908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118061</xdr:colOff>
      <xdr:row>95</xdr:row>
      <xdr:rowOff>7257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41C667C-4FD2-43ED-BF27-61DDC279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503886" y="16488229"/>
          <a:ext cx="6446289" cy="1364342"/>
        </a:xfrm>
        <a:prstGeom prst="rect">
          <a:avLst/>
        </a:prstGeom>
      </xdr:spPr>
    </xdr:pic>
    <xdr:clientData/>
  </xdr:twoCellAnchor>
  <xdr:twoCellAnchor editAs="oneCell">
    <xdr:from>
      <xdr:col>10</xdr:col>
      <xdr:colOff>407393</xdr:colOff>
      <xdr:row>100</xdr:row>
      <xdr:rowOff>0</xdr:rowOff>
    </xdr:from>
    <xdr:to>
      <xdr:col>17</xdr:col>
      <xdr:colOff>786428</xdr:colOff>
      <xdr:row>107</xdr:row>
      <xdr:rowOff>101600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6EBEC41-59B9-4FEC-BD46-BD5A396A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02307" y="18752457"/>
          <a:ext cx="5916235" cy="14586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115</xdr:row>
      <xdr:rowOff>0</xdr:rowOff>
    </xdr:from>
    <xdr:to>
      <xdr:col>17</xdr:col>
      <xdr:colOff>128825</xdr:colOff>
      <xdr:row>122</xdr:row>
      <xdr:rowOff>137886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6F1145B4-20CF-47C2-A340-51266C3D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94914" y="21560971"/>
          <a:ext cx="5666025" cy="149497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14</xdr:col>
      <xdr:colOff>337977</xdr:colOff>
      <xdr:row>136</xdr:row>
      <xdr:rowOff>152400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DB4207AE-3FC5-4A1E-9326-C15282BD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712857" y="24188057"/>
          <a:ext cx="5084149" cy="15094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50800</xdr:rowOff>
    </xdr:from>
    <xdr:to>
      <xdr:col>14</xdr:col>
      <xdr:colOff>620973</xdr:colOff>
      <xdr:row>145</xdr:row>
      <xdr:rowOff>123397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13C1CD5-02EB-4D1A-BA5A-B07B46A6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1029" y="26684514"/>
          <a:ext cx="11288973" cy="616883"/>
        </a:xfrm>
        <a:prstGeom prst="rect">
          <a:avLst/>
        </a:prstGeom>
      </xdr:spPr>
    </xdr:pic>
    <xdr:clientData/>
  </xdr:twoCellAnchor>
  <xdr:twoCellAnchor editAs="oneCell">
    <xdr:from>
      <xdr:col>9</xdr:col>
      <xdr:colOff>332135</xdr:colOff>
      <xdr:row>148</xdr:row>
      <xdr:rowOff>145143</xdr:rowOff>
    </xdr:from>
    <xdr:to>
      <xdr:col>17</xdr:col>
      <xdr:colOff>410874</xdr:colOff>
      <xdr:row>158</xdr:row>
      <xdr:rowOff>58057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FB1B3008-148E-41FC-BEE4-39A6EAE2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36021" y="27867429"/>
          <a:ext cx="6406967" cy="181428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169</xdr:row>
      <xdr:rowOff>0</xdr:rowOff>
    </xdr:from>
    <xdr:to>
      <xdr:col>17</xdr:col>
      <xdr:colOff>231917</xdr:colOff>
      <xdr:row>177</xdr:row>
      <xdr:rowOff>123371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FDC3C9C8-9E81-4788-96CA-2A4F9C52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94914" y="31619371"/>
          <a:ext cx="5769117" cy="16618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186</xdr:row>
      <xdr:rowOff>0</xdr:rowOff>
    </xdr:from>
    <xdr:to>
      <xdr:col>16</xdr:col>
      <xdr:colOff>755945</xdr:colOff>
      <xdr:row>194</xdr:row>
      <xdr:rowOff>115169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3B334193-F882-459D-A0B8-156B111E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94914" y="34790743"/>
          <a:ext cx="5502117" cy="165368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205</xdr:row>
      <xdr:rowOff>0</xdr:rowOff>
    </xdr:from>
    <xdr:to>
      <xdr:col>16</xdr:col>
      <xdr:colOff>763565</xdr:colOff>
      <xdr:row>213</xdr:row>
      <xdr:rowOff>153272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1EF3B81-AA86-4F9D-A197-5B9D8FCB1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294914" y="38324971"/>
          <a:ext cx="5509737" cy="16917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3</xdr:col>
      <xdr:colOff>631779</xdr:colOff>
      <xdr:row>19</xdr:row>
      <xdr:rowOff>175260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7E2841-BB9F-453F-8424-ABBA6818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3009219" cy="2270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22</xdr:row>
      <xdr:rowOff>0</xdr:rowOff>
    </xdr:from>
    <xdr:to>
      <xdr:col>3</xdr:col>
      <xdr:colOff>785125</xdr:colOff>
      <xdr:row>33</xdr:row>
      <xdr:rowOff>91622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DA7412-5D8E-4648-8709-B374CEFE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3009900"/>
          <a:ext cx="3055885" cy="2103302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36</xdr:row>
      <xdr:rowOff>30480</xdr:rowOff>
    </xdr:from>
    <xdr:to>
      <xdr:col>3</xdr:col>
      <xdr:colOff>236434</xdr:colOff>
      <xdr:row>48</xdr:row>
      <xdr:rowOff>137367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BC524C-3CF6-4AB4-B20F-D142F3D5F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780" y="5684520"/>
          <a:ext cx="2469094" cy="23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53340</xdr:rowOff>
    </xdr:from>
    <xdr:to>
      <xdr:col>4</xdr:col>
      <xdr:colOff>152770</xdr:colOff>
      <xdr:row>60</xdr:row>
      <xdr:rowOff>144927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1F894F9-29C1-4B5D-871A-D316AB63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534400"/>
          <a:ext cx="3322690" cy="1821327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64</xdr:row>
      <xdr:rowOff>22860</xdr:rowOff>
    </xdr:from>
    <xdr:to>
      <xdr:col>3</xdr:col>
      <xdr:colOff>784860</xdr:colOff>
      <xdr:row>76</xdr:row>
      <xdr:rowOff>26450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1882B83-CEED-44CC-9CF2-AD6C1052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60" y="10965180"/>
          <a:ext cx="3025140" cy="22819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15</xdr:col>
      <xdr:colOff>526238</xdr:colOff>
      <xdr:row>18</xdr:row>
      <xdr:rowOff>144958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B057519-9DDD-4A0D-AE93-09567F11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77100" y="365760"/>
          <a:ext cx="5281118" cy="20575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16</xdr:col>
      <xdr:colOff>678720</xdr:colOff>
      <xdr:row>31</xdr:row>
      <xdr:rowOff>144958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FEB2880-C535-43C9-8CA4-47F02BEDF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77100" y="2827020"/>
          <a:ext cx="6226080" cy="20575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130032</xdr:colOff>
      <xdr:row>47</xdr:row>
      <xdr:rowOff>68768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D98C657-7278-4C68-A9EE-435E8648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77100" y="5654040"/>
          <a:ext cx="5677392" cy="216426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17</xdr:col>
      <xdr:colOff>655858</xdr:colOff>
      <xdr:row>60</xdr:row>
      <xdr:rowOff>150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406AC07-6FA8-4D9A-8D09-9CA2B8B6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69580" y="8481060"/>
          <a:ext cx="6203218" cy="1729890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</xdr:colOff>
      <xdr:row>64</xdr:row>
      <xdr:rowOff>38100</xdr:rowOff>
    </xdr:from>
    <xdr:to>
      <xdr:col>19</xdr:col>
      <xdr:colOff>320679</xdr:colOff>
      <xdr:row>73</xdr:row>
      <xdr:rowOff>99215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E5F105D-B9D3-48AC-B09C-7EDF2EFB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53400" y="10980420"/>
          <a:ext cx="7369179" cy="1790855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533399</xdr:colOff>
      <xdr:row>0</xdr:row>
      <xdr:rowOff>143933</xdr:rowOff>
    </xdr:from>
    <xdr:to>
      <xdr:col>14</xdr:col>
      <xdr:colOff>255145</xdr:colOff>
      <xdr:row>4</xdr:row>
      <xdr:rowOff>135466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4C9ADC3-EF3B-4C40-BE5C-84B12005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29266" y="143933"/>
          <a:ext cx="10211946" cy="736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182879</xdr:rowOff>
    </xdr:from>
    <xdr:to>
      <xdr:col>8</xdr:col>
      <xdr:colOff>528205</xdr:colOff>
      <xdr:row>29</xdr:row>
      <xdr:rowOff>137528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9D94D3-4C3F-46A0-BC53-A413B1DB8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365759"/>
          <a:ext cx="5547360" cy="3063611"/>
        </a:xfrm>
        <a:prstGeom prst="rect">
          <a:avLst/>
        </a:prstGeom>
      </xdr:spPr>
    </xdr:pic>
    <xdr:clientData/>
  </xdr:twoCellAnchor>
  <xdr:twoCellAnchor editAs="oneCell">
    <xdr:from>
      <xdr:col>1</xdr:col>
      <xdr:colOff>178</xdr:colOff>
      <xdr:row>72</xdr:row>
      <xdr:rowOff>36750</xdr:rowOff>
    </xdr:from>
    <xdr:to>
      <xdr:col>9</xdr:col>
      <xdr:colOff>757194</xdr:colOff>
      <xdr:row>106</xdr:row>
      <xdr:rowOff>4311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3ACC541-A3EF-4985-A214-1149E96C1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1"/>
        <a:stretch/>
      </xdr:blipFill>
      <xdr:spPr>
        <a:xfrm>
          <a:off x="794952" y="11294685"/>
          <a:ext cx="6587006" cy="6145498"/>
        </a:xfrm>
        <a:prstGeom prst="rect">
          <a:avLst/>
        </a:prstGeom>
      </xdr:spPr>
    </xdr:pic>
    <xdr:clientData/>
  </xdr:twoCellAnchor>
  <xdr:twoCellAnchor>
    <xdr:from>
      <xdr:col>10</xdr:col>
      <xdr:colOff>16388</xdr:colOff>
      <xdr:row>37</xdr:row>
      <xdr:rowOff>73742</xdr:rowOff>
    </xdr:from>
    <xdr:to>
      <xdr:col>17</xdr:col>
      <xdr:colOff>49162</xdr:colOff>
      <xdr:row>46</xdr:row>
      <xdr:rowOff>122903</xdr:rowOff>
    </xdr:to>
    <xdr:sp macro="" textlink="">
      <xdr:nvSpPr>
        <xdr:cNvPr id="2" name="Triangle rectangle 1">
          <a:extLst>
            <a:ext uri="{FF2B5EF4-FFF2-40B4-BE49-F238E27FC236}">
              <a16:creationId xmlns:a16="http://schemas.microsoft.com/office/drawing/2014/main" id="{E4053EC9-1680-450D-9BA6-1BFC1023CB2D}"/>
            </a:ext>
          </a:extLst>
        </xdr:cNvPr>
        <xdr:cNvSpPr/>
      </xdr:nvSpPr>
      <xdr:spPr>
        <a:xfrm>
          <a:off x="7169356" y="4842387"/>
          <a:ext cx="5596193" cy="1737032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6</xdr:col>
      <xdr:colOff>8781</xdr:colOff>
      <xdr:row>0</xdr:row>
      <xdr:rowOff>1</xdr:rowOff>
    </xdr:from>
    <xdr:to>
      <xdr:col>11</xdr:col>
      <xdr:colOff>417873</xdr:colOff>
      <xdr:row>11</xdr:row>
      <xdr:rowOff>58839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DC2169-BD80-4157-B490-A2A3F4B59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129" t="13290" r="14334" b="16833"/>
        <a:stretch/>
      </xdr:blipFill>
      <xdr:spPr>
        <a:xfrm rot="16200000">
          <a:off x="5399102" y="-1146062"/>
          <a:ext cx="2090838" cy="43829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521074</xdr:colOff>
      <xdr:row>15</xdr:row>
      <xdr:rowOff>50873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7CF7A2-2D72-44CA-B2DB-05246F63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548640"/>
          <a:ext cx="6068434" cy="2336873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51</xdr:row>
      <xdr:rowOff>7620</xdr:rowOff>
    </xdr:from>
    <xdr:to>
      <xdr:col>8</xdr:col>
      <xdr:colOff>416719</xdr:colOff>
      <xdr:row>64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3B38EF-992F-4DFA-832D-214C4C275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" b="70331"/>
        <a:stretch/>
      </xdr:blipFill>
      <xdr:spPr>
        <a:xfrm>
          <a:off x="777240" y="9354026"/>
          <a:ext cx="6021229" cy="2492693"/>
        </a:xfrm>
        <a:prstGeom prst="rect">
          <a:avLst/>
        </a:prstGeom>
      </xdr:spPr>
    </xdr:pic>
    <xdr:clientData/>
  </xdr:twoCellAnchor>
  <xdr:twoCellAnchor editAs="oneCell">
    <xdr:from>
      <xdr:col>0</xdr:col>
      <xdr:colOff>750092</xdr:colOff>
      <xdr:row>75</xdr:row>
      <xdr:rowOff>0</xdr:rowOff>
    </xdr:from>
    <xdr:to>
      <xdr:col>8</xdr:col>
      <xdr:colOff>357187</xdr:colOff>
      <xdr:row>108</xdr:row>
      <xdr:rowOff>82816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CFCD3C8-BDF8-4590-8CCD-E0108910A9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90" r="592"/>
        <a:stretch/>
      </xdr:blipFill>
      <xdr:spPr>
        <a:xfrm>
          <a:off x="750092" y="13727906"/>
          <a:ext cx="5988845" cy="61037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662940</xdr:colOff>
      <xdr:row>4</xdr:row>
      <xdr:rowOff>7620</xdr:rowOff>
    </xdr:from>
    <xdr:to>
      <xdr:col>7</xdr:col>
      <xdr:colOff>449580</xdr:colOff>
      <xdr:row>16</xdr:row>
      <xdr:rowOff>91440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5001DB-FB4F-4B01-94C1-087ED7D9C9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357"/>
        <a:stretch/>
      </xdr:blipFill>
      <xdr:spPr>
        <a:xfrm>
          <a:off x="4785360" y="739140"/>
          <a:ext cx="1371600" cy="23622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17</xdr:row>
      <xdr:rowOff>167640</xdr:rowOff>
    </xdr:from>
    <xdr:to>
      <xdr:col>7</xdr:col>
      <xdr:colOff>541148</xdr:colOff>
      <xdr:row>31</xdr:row>
      <xdr:rowOff>137387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20D4FC-1B96-455D-AD49-CD1B7500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7640" y="3360420"/>
          <a:ext cx="1478408" cy="261388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10</xdr:col>
      <xdr:colOff>396412</xdr:colOff>
      <xdr:row>7</xdr:row>
      <xdr:rowOff>22917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637E5A-E695-4496-81B9-D1E1B359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7380" y="731520"/>
          <a:ext cx="1981372" cy="6553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11</xdr:col>
      <xdr:colOff>45930</xdr:colOff>
      <xdr:row>23</xdr:row>
      <xdr:rowOff>22964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3BBA15-5AD5-44C4-8279-63BF67E9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7380" y="3192780"/>
          <a:ext cx="2423370" cy="1204064"/>
        </a:xfrm>
        <a:prstGeom prst="rect">
          <a:avLst/>
        </a:prstGeom>
      </xdr:spPr>
    </xdr:pic>
    <xdr:clientData/>
  </xdr:twoCellAnchor>
  <xdr:twoCellAnchor editAs="oneCell">
    <xdr:from>
      <xdr:col>11</xdr:col>
      <xdr:colOff>548640</xdr:colOff>
      <xdr:row>8</xdr:row>
      <xdr:rowOff>114300</xdr:rowOff>
    </xdr:from>
    <xdr:to>
      <xdr:col>15</xdr:col>
      <xdr:colOff>183122</xdr:colOff>
      <xdr:row>22</xdr:row>
      <xdr:rowOff>68805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9250BA7-E44B-4DC8-93C3-A950FACC0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33460" y="1661160"/>
          <a:ext cx="2804403" cy="2598645"/>
        </a:xfrm>
        <a:prstGeom prst="rect">
          <a:avLst/>
        </a:prstGeom>
      </xdr:spPr>
    </xdr:pic>
    <xdr:clientData/>
  </xdr:twoCellAnchor>
  <xdr:twoCellAnchor editAs="oneCell">
    <xdr:from>
      <xdr:col>7</xdr:col>
      <xdr:colOff>330868</xdr:colOff>
      <xdr:row>33</xdr:row>
      <xdr:rowOff>60159</xdr:rowOff>
    </xdr:from>
    <xdr:to>
      <xdr:col>18</xdr:col>
      <xdr:colOff>469018</xdr:colOff>
      <xdr:row>49</xdr:row>
      <xdr:rowOff>147339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F3141B-BD35-4A89-8855-CDF36CD7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43763" y="6196264"/>
          <a:ext cx="8851019" cy="30649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37</xdr:row>
      <xdr:rowOff>133351</xdr:rowOff>
    </xdr:from>
    <xdr:to>
      <xdr:col>12</xdr:col>
      <xdr:colOff>1546859</xdr:colOff>
      <xdr:row>48</xdr:row>
      <xdr:rowOff>46002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98FDBB-37DA-48DE-A9BF-55E213EF1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7277101"/>
          <a:ext cx="4356734" cy="2008151"/>
        </a:xfrm>
        <a:prstGeom prst="rect">
          <a:avLst/>
        </a:prstGeom>
      </xdr:spPr>
    </xdr:pic>
    <xdr:clientData/>
  </xdr:twoCellAnchor>
  <xdr:twoCellAnchor editAs="oneCell">
    <xdr:from>
      <xdr:col>7</xdr:col>
      <xdr:colOff>448734</xdr:colOff>
      <xdr:row>49</xdr:row>
      <xdr:rowOff>186267</xdr:rowOff>
    </xdr:from>
    <xdr:to>
      <xdr:col>12</xdr:col>
      <xdr:colOff>272406</xdr:colOff>
      <xdr:row>60</xdr:row>
      <xdr:rowOff>97463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B69DD3-6B49-4249-8803-182AB95F1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2409" y="9606492"/>
          <a:ext cx="4452822" cy="2006696"/>
        </a:xfrm>
        <a:prstGeom prst="rect">
          <a:avLst/>
        </a:prstGeom>
      </xdr:spPr>
    </xdr:pic>
    <xdr:clientData/>
  </xdr:twoCellAnchor>
  <xdr:twoCellAnchor editAs="oneCell">
    <xdr:from>
      <xdr:col>7</xdr:col>
      <xdr:colOff>540479</xdr:colOff>
      <xdr:row>62</xdr:row>
      <xdr:rowOff>1315</xdr:rowOff>
    </xdr:from>
    <xdr:to>
      <xdr:col>12</xdr:col>
      <xdr:colOff>418906</xdr:colOff>
      <xdr:row>74</xdr:row>
      <xdr:rowOff>70587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98C4223-1D9E-410E-A58F-D0DE6807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4625" y="10545413"/>
          <a:ext cx="4521980" cy="2386246"/>
        </a:xfrm>
        <a:prstGeom prst="rect">
          <a:avLst/>
        </a:prstGeom>
      </xdr:spPr>
    </xdr:pic>
    <xdr:clientData/>
  </xdr:twoCellAnchor>
  <xdr:twoCellAnchor editAs="oneCell">
    <xdr:from>
      <xdr:col>8</xdr:col>
      <xdr:colOff>254571</xdr:colOff>
      <xdr:row>76</xdr:row>
      <xdr:rowOff>178271</xdr:rowOff>
    </xdr:from>
    <xdr:to>
      <xdr:col>12</xdr:col>
      <xdr:colOff>1132793</xdr:colOff>
      <xdr:row>88</xdr:row>
      <xdr:rowOff>25027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FD9E0E7-3B44-46F1-AA27-18880E29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9657" y="13154042"/>
          <a:ext cx="4719518" cy="2125499"/>
        </a:xfrm>
        <a:prstGeom prst="rect">
          <a:avLst/>
        </a:prstGeom>
      </xdr:spPr>
    </xdr:pic>
    <xdr:clientData/>
  </xdr:twoCellAnchor>
  <xdr:twoCellAnchor editAs="oneCell">
    <xdr:from>
      <xdr:col>9</xdr:col>
      <xdr:colOff>452913</xdr:colOff>
      <xdr:row>92</xdr:row>
      <xdr:rowOff>21962</xdr:rowOff>
    </xdr:from>
    <xdr:to>
      <xdr:col>13</xdr:col>
      <xdr:colOff>552244</xdr:colOff>
      <xdr:row>115</xdr:row>
      <xdr:rowOff>34358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9910D4F-0C45-44A9-8FCF-35E58D68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8604" y="15933907"/>
          <a:ext cx="4694710" cy="4300377"/>
        </a:xfrm>
        <a:prstGeom prst="rect">
          <a:avLst/>
        </a:prstGeom>
      </xdr:spPr>
    </xdr:pic>
    <xdr:clientData/>
  </xdr:twoCellAnchor>
  <xdr:twoCellAnchor editAs="oneCell">
    <xdr:from>
      <xdr:col>9</xdr:col>
      <xdr:colOff>443459</xdr:colOff>
      <xdr:row>116</xdr:row>
      <xdr:rowOff>2684</xdr:rowOff>
    </xdr:from>
    <xdr:to>
      <xdr:col>13</xdr:col>
      <xdr:colOff>652900</xdr:colOff>
      <xdr:row>126</xdr:row>
      <xdr:rowOff>124285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B7EC1F1-71B4-4EEB-80B0-CA842F2B4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83671" y="20613319"/>
          <a:ext cx="4814412" cy="2041253"/>
        </a:xfrm>
        <a:prstGeom prst="rect">
          <a:avLst/>
        </a:prstGeom>
      </xdr:spPr>
    </xdr:pic>
    <xdr:clientData/>
  </xdr:twoCellAnchor>
  <xdr:twoCellAnchor editAs="oneCell">
    <xdr:from>
      <xdr:col>8</xdr:col>
      <xdr:colOff>430614</xdr:colOff>
      <xdr:row>20</xdr:row>
      <xdr:rowOff>3422</xdr:rowOff>
    </xdr:from>
    <xdr:to>
      <xdr:col>12</xdr:col>
      <xdr:colOff>1541257</xdr:colOff>
      <xdr:row>33</xdr:row>
      <xdr:rowOff>146750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7913321-85D1-4D21-B26A-8B787603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64864" y="3841997"/>
          <a:ext cx="4949218" cy="272460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130</xdr:row>
      <xdr:rowOff>0</xdr:rowOff>
    </xdr:from>
    <xdr:to>
      <xdr:col>14</xdr:col>
      <xdr:colOff>360554</xdr:colOff>
      <xdr:row>152</xdr:row>
      <xdr:rowOff>13505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A956EC0-8CF2-40FF-9DBB-FA8A3A81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41837" y="25239306"/>
          <a:ext cx="4976291" cy="42142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555626</xdr:colOff>
      <xdr:row>154</xdr:row>
      <xdr:rowOff>168728</xdr:rowOff>
    </xdr:from>
    <xdr:to>
      <xdr:col>12</xdr:col>
      <xdr:colOff>747632</xdr:colOff>
      <xdr:row>160</xdr:row>
      <xdr:rowOff>171372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4B29CC6-FBD3-4717-901B-1E5260F2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99301" y="29258078"/>
          <a:ext cx="4821156" cy="1193269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165</xdr:row>
      <xdr:rowOff>180975</xdr:rowOff>
    </xdr:from>
    <xdr:to>
      <xdr:col>12</xdr:col>
      <xdr:colOff>843529</xdr:colOff>
      <xdr:row>172</xdr:row>
      <xdr:rowOff>101828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1B5DC12-9AE7-44BB-BD9D-F6C8F16B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58025" y="31365825"/>
          <a:ext cx="4958329" cy="1292453"/>
        </a:xfrm>
        <a:prstGeom prst="rect">
          <a:avLst/>
        </a:prstGeom>
      </xdr:spPr>
    </xdr:pic>
    <xdr:clientData/>
  </xdr:twoCellAnchor>
  <xdr:twoCellAnchor editAs="oneCell">
    <xdr:from>
      <xdr:col>7</xdr:col>
      <xdr:colOff>161934</xdr:colOff>
      <xdr:row>175</xdr:row>
      <xdr:rowOff>180972</xdr:rowOff>
    </xdr:from>
    <xdr:to>
      <xdr:col>15</xdr:col>
      <xdr:colOff>666759</xdr:colOff>
      <xdr:row>189</xdr:row>
      <xdr:rowOff>49199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7D36857-EF8E-4BB6-B73F-3237CE127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2085" t="17268" r="36651" b="8496"/>
        <a:stretch/>
      </xdr:blipFill>
      <xdr:spPr>
        <a:xfrm rot="16200000">
          <a:off x="9533745" y="30452211"/>
          <a:ext cx="2611427" cy="82677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191</xdr:row>
      <xdr:rowOff>38101</xdr:rowOff>
    </xdr:from>
    <xdr:to>
      <xdr:col>6</xdr:col>
      <xdr:colOff>752476</xdr:colOff>
      <xdr:row>200</xdr:row>
      <xdr:rowOff>98612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5A357E-305E-4A60-890D-47810B42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1626" y="36242626"/>
          <a:ext cx="4933950" cy="1689286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13T18:17:43.777"/>
    </inkml:context>
    <inkml:brush xml:id="br0">
      <inkml:brushProperty name="width" value="0.35" units="cm"/>
      <inkml:brushProperty name="height" value="0.35" units="cm"/>
      <inkml:brushProperty name="color" value="#FFFFFF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10-07T13:07:32.9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1723 298,'-2'-1,"-1"0,1 1,-1-1,1-1,-1 1,1 0,0 0,0-1,-4-3,-6-3,-38-19,-247-123,249 129,0 3,-2 2,0 1,-71-9,89 21,1 2,-1 2,1 0,-1 3,1 0,0 2,0 1,0 2,1 1,1 1,-54 28,27-8,3 3,0 2,2 2,-89 87,108-92,1 0,2 2,-44 69,62-84,0 1,1 0,1 0,1 1,1-1,1 2,1-1,1 1,-2 32,5-22,2 1,1 0,2-1,1 1,2-1,1 0,2-1,0 0,3-1,0 0,2-1,2 0,0-1,2-1,1-1,1-1,1 0,2-2,0-1,2 0,0-2,1-1,1-2,1 0,1-2,0-1,1-2,37 12,-32-16,0-2,1-1,-1-1,1-2,0-2,0-2,0-1,0-1,0-3,-1 0,0-3,0-1,60-26,-62 21,-2-1,0-2,-1-1,0-2,-2-1,-1-1,0-1,-2-2,-1 0,-1-2,-1-1,-2-1,35-64,-45 73,-2 0,-1-1,-1 0,0-1,-2 0,-1 0,2-26,-5 19,-1 1,-2-1,0 1,-3 0,-8-37,-6-3,-39-99,44 134,-2 1,-2 0,0 1,-41-51,44 68,0 0,-1 0,0 2,-1 0,-1 1,0 1,-1 0,0 1,0 1,-28-8,-15-3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367C68-CF2B-47CA-9E31-7358CF8709D5}" name="Tableau2" displayName="Tableau2" ref="B2:F8" totalsRowShown="0" headerRowDxfId="10" dataDxfId="9" tableBorderDxfId="8">
  <autoFilter ref="B2:F8" xr:uid="{29367C68-CF2B-47CA-9E31-7358CF8709D5}"/>
  <tableColumns count="5">
    <tableColumn id="1" xr3:uid="{C10D0C48-1F6D-4653-BFB1-3FE5A1F84BB6}" name="Calcul de vitesse" dataDxfId="7"/>
    <tableColumn id="2" xr3:uid="{19FCA4A2-8DEC-4995-AB04-993EADBF2509}" name="Colonne1" dataDxfId="6"/>
    <tableColumn id="3" xr3:uid="{BCF2A491-355C-4420-843B-D5C50C258C72}" name="Colonne2" dataDxfId="5"/>
    <tableColumn id="4" xr3:uid="{4CC5A0B5-F5F8-4FF3-9ED3-0736568D56B1}" name="Colonne3" dataDxfId="4"/>
    <tableColumn id="5" xr3:uid="{8B51743D-C465-47C6-B84C-B039BDF669B4}" name="Colonne4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2C6122-D59C-4C8B-AB71-EC02091ADB21}" name="Tableau3" displayName="Tableau3" ref="B15:E19" totalsRowShown="0" headerRowDxfId="2" tableBorderDxfId="1">
  <autoFilter ref="B15:E19" xr:uid="{C82C6122-D59C-4C8B-AB71-EC02091ADB21}"/>
  <tableColumns count="4">
    <tableColumn id="1" xr3:uid="{3DDEEB96-0019-4023-97E8-06EC6B552B8E}" name="Convertiseur de vitesse" dataDxfId="0"/>
    <tableColumn id="2" xr3:uid="{08B5291E-64A9-4AA8-8D19-CC09CFEBC7FC}" name="Colonne1"/>
    <tableColumn id="3" xr3:uid="{259CDC58-EF5D-42D0-B689-7BB5C699F065}" name="Colonne2"/>
    <tableColumn id="4" xr3:uid="{2B88CA44-0086-43BC-85BA-2608CCD39136}" name="Colonne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0BEC-DCF8-4B94-9DA5-075903F5D3B0}">
  <sheetPr codeName="Feuil1"/>
  <dimension ref="A7:R78"/>
  <sheetViews>
    <sheetView workbookViewId="0">
      <selection activeCell="D23" sqref="D23"/>
    </sheetView>
  </sheetViews>
  <sheetFormatPr baseColWidth="10" defaultRowHeight="14.4" x14ac:dyDescent="0.3"/>
  <sheetData>
    <row r="7" spans="1:18" ht="15" thickBot="1" x14ac:dyDescent="0.35"/>
    <row r="8" spans="1:18" ht="24" thickBot="1" x14ac:dyDescent="0.5">
      <c r="A8" s="317" t="s">
        <v>1</v>
      </c>
      <c r="B8" s="318"/>
      <c r="C8" s="318"/>
      <c r="D8" s="318"/>
      <c r="E8" s="318"/>
      <c r="F8" s="319"/>
      <c r="G8" s="3"/>
      <c r="H8" s="3"/>
      <c r="I8" s="3"/>
      <c r="J8" s="3"/>
      <c r="K8" s="3"/>
      <c r="L8" s="3"/>
      <c r="N8" s="320" t="s">
        <v>435</v>
      </c>
      <c r="O8" s="321"/>
      <c r="P8" s="321"/>
      <c r="Q8" s="321"/>
      <c r="R8" s="322"/>
    </row>
    <row r="9" spans="1:18" ht="15" thickBot="1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8" ht="15" thickBot="1" x14ac:dyDescent="0.35">
      <c r="B10" s="57" t="s">
        <v>5</v>
      </c>
      <c r="C10" s="58"/>
      <c r="D10" s="58"/>
      <c r="E10" s="237" t="s">
        <v>36</v>
      </c>
      <c r="F10" s="237" t="s">
        <v>15</v>
      </c>
      <c r="G10" s="237" t="s">
        <v>16</v>
      </c>
      <c r="H10" s="237" t="s">
        <v>17</v>
      </c>
      <c r="I10" s="3"/>
      <c r="J10" s="3"/>
      <c r="K10" s="3"/>
      <c r="L10" s="3"/>
      <c r="N10" s="296" t="s">
        <v>436</v>
      </c>
      <c r="O10" s="297" t="s">
        <v>437</v>
      </c>
      <c r="Q10" s="296" t="s">
        <v>437</v>
      </c>
      <c r="R10" s="297" t="s">
        <v>436</v>
      </c>
    </row>
    <row r="11" spans="1:18" x14ac:dyDescent="0.3">
      <c r="B11" s="59"/>
      <c r="C11" s="58" t="s">
        <v>25</v>
      </c>
      <c r="D11" s="61">
        <v>1</v>
      </c>
      <c r="E11" s="62" t="s">
        <v>109</v>
      </c>
      <c r="F11" s="58">
        <f>D11*0.01</f>
        <v>0.01</v>
      </c>
      <c r="G11" s="58">
        <f>D11/10000</f>
        <v>1E-4</v>
      </c>
      <c r="H11" s="58">
        <f>D11* 0.000001</f>
        <v>9.9999999999999995E-7</v>
      </c>
      <c r="I11" s="3"/>
      <c r="J11" s="3"/>
      <c r="K11" s="3"/>
      <c r="L11" s="3"/>
      <c r="N11" s="294"/>
      <c r="O11" s="295">
        <f>_xlfn.ARABIC(N11)</f>
        <v>0</v>
      </c>
      <c r="Q11" s="294"/>
      <c r="R11" s="295" t="str">
        <f>ROMAN(Q11)</f>
        <v/>
      </c>
    </row>
    <row r="12" spans="1:18" x14ac:dyDescent="0.3">
      <c r="B12" s="59"/>
      <c r="C12" s="58" t="s">
        <v>15</v>
      </c>
      <c r="D12" s="61">
        <v>1</v>
      </c>
      <c r="E12" s="58">
        <f>D12*100</f>
        <v>100</v>
      </c>
      <c r="F12" s="62" t="s">
        <v>109</v>
      </c>
      <c r="G12" s="58">
        <f>D12/100</f>
        <v>0.01</v>
      </c>
      <c r="H12" s="58">
        <f>D12/10000</f>
        <v>1E-4</v>
      </c>
      <c r="I12" s="3"/>
      <c r="J12" s="3"/>
      <c r="K12" s="3"/>
      <c r="L12" s="3"/>
      <c r="N12" s="290"/>
      <c r="O12" s="291">
        <f t="shared" ref="O12:O13" si="0">_xlfn.ARABIC(N12)</f>
        <v>0</v>
      </c>
      <c r="Q12" s="290"/>
      <c r="R12" s="291" t="str">
        <f t="shared" ref="R12:R13" si="1">ROMAN(Q12)</f>
        <v/>
      </c>
    </row>
    <row r="13" spans="1:18" ht="15" thickBot="1" x14ac:dyDescent="0.35">
      <c r="B13" s="59"/>
      <c r="C13" s="58" t="s">
        <v>16</v>
      </c>
      <c r="D13" s="61">
        <v>1</v>
      </c>
      <c r="E13" s="58">
        <f>D13*10000</f>
        <v>10000</v>
      </c>
      <c r="F13" s="58">
        <f>D13*100</f>
        <v>100</v>
      </c>
      <c r="G13" s="62" t="s">
        <v>109</v>
      </c>
      <c r="H13" s="58">
        <f>D13/100</f>
        <v>0.01</v>
      </c>
      <c r="I13" s="3"/>
      <c r="J13" s="3"/>
      <c r="K13" s="3"/>
      <c r="L13" s="3"/>
      <c r="N13" s="292"/>
      <c r="O13" s="293">
        <f t="shared" si="0"/>
        <v>0</v>
      </c>
      <c r="Q13" s="292"/>
      <c r="R13" s="293" t="str">
        <f t="shared" si="1"/>
        <v/>
      </c>
    </row>
    <row r="14" spans="1:18" x14ac:dyDescent="0.3">
      <c r="B14" s="60"/>
      <c r="C14" s="58" t="s">
        <v>17</v>
      </c>
      <c r="D14" s="61">
        <v>1</v>
      </c>
      <c r="E14" s="58">
        <f>D14/ 0.000001</f>
        <v>1000000</v>
      </c>
      <c r="F14" s="58">
        <f>D14*10000</f>
        <v>10000</v>
      </c>
      <c r="G14" s="58">
        <f>D14*100</f>
        <v>100</v>
      </c>
      <c r="H14" s="62" t="s">
        <v>109</v>
      </c>
      <c r="I14" s="3"/>
      <c r="J14" s="3"/>
      <c r="K14" s="3"/>
      <c r="L14" s="3"/>
    </row>
    <row r="15" spans="1:18" x14ac:dyDescent="0.3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8" x14ac:dyDescent="0.3">
      <c r="B16" s="65" t="s">
        <v>2</v>
      </c>
      <c r="C16" s="64"/>
      <c r="D16" s="66"/>
      <c r="E16" s="238" t="s">
        <v>6</v>
      </c>
      <c r="F16" s="238" t="s">
        <v>22</v>
      </c>
      <c r="G16" s="238" t="s">
        <v>23</v>
      </c>
      <c r="H16" s="238" t="s">
        <v>24</v>
      </c>
      <c r="I16" s="238" t="s">
        <v>3</v>
      </c>
      <c r="J16" s="238" t="s">
        <v>26</v>
      </c>
      <c r="K16" s="238" t="s">
        <v>35</v>
      </c>
      <c r="L16" s="238" t="s">
        <v>7</v>
      </c>
    </row>
    <row r="17" spans="2:12" x14ac:dyDescent="0.3">
      <c r="B17" s="67"/>
      <c r="C17" s="68" t="s">
        <v>6</v>
      </c>
      <c r="D17" s="73">
        <v>1</v>
      </c>
      <c r="E17" s="63" t="s">
        <v>109</v>
      </c>
      <c r="F17" s="64">
        <f>D17/100</f>
        <v>0.01</v>
      </c>
      <c r="G17" s="64">
        <f>D17/1000</f>
        <v>1E-3</v>
      </c>
      <c r="H17" s="64">
        <f>D17/100</f>
        <v>0.01</v>
      </c>
      <c r="I17" s="64">
        <f>D17/100000</f>
        <v>1.0000000000000001E-5</v>
      </c>
      <c r="J17" s="64">
        <f>D17/100000</f>
        <v>1.0000000000000001E-5</v>
      </c>
      <c r="K17" s="69">
        <f>D17/6894.7572931783</f>
        <v>1.4503773773000015E-4</v>
      </c>
      <c r="L17" s="64">
        <f>D17/10000</f>
        <v>1E-4</v>
      </c>
    </row>
    <row r="18" spans="2:12" x14ac:dyDescent="0.3">
      <c r="B18" s="67"/>
      <c r="C18" s="64" t="s">
        <v>22</v>
      </c>
      <c r="D18" s="73">
        <v>1</v>
      </c>
      <c r="E18" s="64">
        <f>D18*100</f>
        <v>100</v>
      </c>
      <c r="F18" s="63" t="s">
        <v>109</v>
      </c>
      <c r="G18" s="64">
        <f>D18/10</f>
        <v>0.1</v>
      </c>
      <c r="H18" s="64">
        <f>D18</f>
        <v>1</v>
      </c>
      <c r="I18" s="64">
        <f>D18/1000</f>
        <v>1E-3</v>
      </c>
      <c r="J18" s="64">
        <f>D18/1000</f>
        <v>1E-3</v>
      </c>
      <c r="K18" s="69">
        <f>D18/68.947572931783</f>
        <v>1.4503773773000014E-2</v>
      </c>
      <c r="L18" s="64">
        <f>D18/100</f>
        <v>0.01</v>
      </c>
    </row>
    <row r="19" spans="2:12" x14ac:dyDescent="0.3">
      <c r="B19" s="67"/>
      <c r="C19" s="64" t="s">
        <v>23</v>
      </c>
      <c r="D19" s="73">
        <v>1</v>
      </c>
      <c r="E19" s="64">
        <f>D19*1000</f>
        <v>1000</v>
      </c>
      <c r="F19" s="64">
        <f>D19*10</f>
        <v>10</v>
      </c>
      <c r="G19" s="63" t="s">
        <v>109</v>
      </c>
      <c r="H19" s="64">
        <f>D19*10</f>
        <v>10</v>
      </c>
      <c r="I19" s="64">
        <f>D19/100</f>
        <v>0.01</v>
      </c>
      <c r="J19" s="64">
        <f>D19/100</f>
        <v>0.01</v>
      </c>
      <c r="K19" s="69">
        <f>D19/6.8947572931783</f>
        <v>0.14503773773000014</v>
      </c>
      <c r="L19" s="64">
        <f>D19/10</f>
        <v>0.1</v>
      </c>
    </row>
    <row r="20" spans="2:12" x14ac:dyDescent="0.3">
      <c r="B20" s="67"/>
      <c r="C20" s="64" t="s">
        <v>24</v>
      </c>
      <c r="D20" s="73">
        <v>1</v>
      </c>
      <c r="E20" s="64">
        <f>D20*0.00001</f>
        <v>1.0000000000000001E-5</v>
      </c>
      <c r="F20" s="64">
        <f>D20</f>
        <v>1</v>
      </c>
      <c r="G20" s="64">
        <f>D20/10</f>
        <v>0.1</v>
      </c>
      <c r="H20" s="63" t="s">
        <v>109</v>
      </c>
      <c r="I20" s="64">
        <f>D20/1000</f>
        <v>1E-3</v>
      </c>
      <c r="J20" s="64">
        <f>D20/1000</f>
        <v>1E-3</v>
      </c>
      <c r="K20" s="69">
        <f>D20/6.8947572931783</f>
        <v>0.14503773773000014</v>
      </c>
      <c r="L20" s="64">
        <f>D20/100</f>
        <v>0.01</v>
      </c>
    </row>
    <row r="21" spans="2:12" x14ac:dyDescent="0.3">
      <c r="B21" s="67"/>
      <c r="C21" s="64" t="s">
        <v>3</v>
      </c>
      <c r="D21" s="73">
        <v>1</v>
      </c>
      <c r="E21" s="64">
        <f>D21/0.000001</f>
        <v>1000000</v>
      </c>
      <c r="F21" s="64">
        <f>D21*1000</f>
        <v>1000</v>
      </c>
      <c r="G21" s="64">
        <f>D21*100</f>
        <v>100</v>
      </c>
      <c r="H21" s="64">
        <f>D21*1000</f>
        <v>1000</v>
      </c>
      <c r="I21" s="63" t="s">
        <v>109</v>
      </c>
      <c r="J21" s="64">
        <f>D21</f>
        <v>1</v>
      </c>
      <c r="K21" s="70">
        <f>D21/0.068947572931783</f>
        <v>14.503773773000015</v>
      </c>
      <c r="L21" s="64">
        <f>D21*10</f>
        <v>10</v>
      </c>
    </row>
    <row r="22" spans="2:12" x14ac:dyDescent="0.3">
      <c r="B22" s="67"/>
      <c r="C22" s="64" t="s">
        <v>26</v>
      </c>
      <c r="D22" s="73">
        <v>1</v>
      </c>
      <c r="E22" s="64">
        <f>D22/0.000001</f>
        <v>1000000</v>
      </c>
      <c r="F22" s="64">
        <f>D22*1000</f>
        <v>1000</v>
      </c>
      <c r="G22" s="64">
        <f>D22*100</f>
        <v>100</v>
      </c>
      <c r="H22" s="64">
        <f>D22*1000</f>
        <v>1000</v>
      </c>
      <c r="I22" s="64">
        <f>D22</f>
        <v>1</v>
      </c>
      <c r="J22" s="63" t="s">
        <v>109</v>
      </c>
      <c r="K22" s="64">
        <f>D22*14.5038</f>
        <v>14.5038</v>
      </c>
      <c r="L22" s="64">
        <f>D22*10</f>
        <v>10</v>
      </c>
    </row>
    <row r="23" spans="2:12" x14ac:dyDescent="0.3">
      <c r="B23" s="67"/>
      <c r="C23" s="64" t="s">
        <v>35</v>
      </c>
      <c r="D23" s="73"/>
      <c r="E23" s="69">
        <f>D23*6894.7572931783</f>
        <v>0</v>
      </c>
      <c r="F23" s="69">
        <f>D23*68.947572931783</f>
        <v>0</v>
      </c>
      <c r="G23" s="71">
        <f>D23*6.8947572931783</f>
        <v>0</v>
      </c>
      <c r="H23" s="69">
        <f>D23*6.8947572931783</f>
        <v>0</v>
      </c>
      <c r="I23" s="69">
        <f>D23*0.068947572931783</f>
        <v>0</v>
      </c>
      <c r="J23" s="64">
        <f>D23/14.5038</f>
        <v>0</v>
      </c>
      <c r="K23" s="63" t="s">
        <v>109</v>
      </c>
      <c r="L23" s="64"/>
    </row>
    <row r="24" spans="2:12" x14ac:dyDescent="0.3">
      <c r="B24" s="72"/>
      <c r="C24" s="64" t="s">
        <v>7</v>
      </c>
      <c r="D24" s="73"/>
      <c r="E24" s="64">
        <f>D24/0.0001</f>
        <v>0</v>
      </c>
      <c r="F24" s="64">
        <f>D24*100</f>
        <v>0</v>
      </c>
      <c r="G24" s="64">
        <f>D24*10</f>
        <v>0</v>
      </c>
      <c r="H24" s="64">
        <f>D24*100</f>
        <v>0</v>
      </c>
      <c r="I24" s="64">
        <f>D24/10</f>
        <v>0</v>
      </c>
      <c r="J24" s="64">
        <f>D24/10</f>
        <v>0</v>
      </c>
      <c r="K24" s="64"/>
      <c r="L24" s="63" t="s">
        <v>109</v>
      </c>
    </row>
    <row r="25" spans="2:12" x14ac:dyDescent="0.3">
      <c r="B25" s="2"/>
      <c r="C25" s="4"/>
      <c r="D25" s="3"/>
      <c r="E25" s="5"/>
      <c r="F25" s="3"/>
      <c r="G25" s="3"/>
      <c r="H25" s="3"/>
      <c r="I25" s="3"/>
      <c r="J25" s="3"/>
      <c r="K25" s="6"/>
      <c r="L25" s="3"/>
    </row>
    <row r="26" spans="2:12" x14ac:dyDescent="0.3">
      <c r="B26" s="2"/>
      <c r="C26" s="4"/>
      <c r="D26" s="3"/>
      <c r="E26" s="4"/>
      <c r="F26" s="3"/>
      <c r="G26" s="3"/>
      <c r="H26" s="3"/>
      <c r="I26" s="3"/>
      <c r="J26" s="3"/>
      <c r="K26" s="6"/>
      <c r="L26" s="3"/>
    </row>
    <row r="27" spans="2:12" x14ac:dyDescent="0.3">
      <c r="B27" s="2"/>
      <c r="C27" s="4"/>
      <c r="D27" s="3"/>
      <c r="E27" s="4"/>
      <c r="F27" s="3"/>
      <c r="G27" s="3"/>
      <c r="H27" s="3"/>
      <c r="I27" s="3"/>
      <c r="J27" s="3"/>
      <c r="K27" s="6"/>
      <c r="L27" s="3"/>
    </row>
    <row r="28" spans="2:12" x14ac:dyDescent="0.3">
      <c r="B28" s="283" t="s">
        <v>4</v>
      </c>
      <c r="C28" s="284"/>
      <c r="D28" s="284"/>
      <c r="E28" s="285" t="s">
        <v>7</v>
      </c>
      <c r="F28" s="285" t="s">
        <v>126</v>
      </c>
      <c r="G28" s="285" t="s">
        <v>274</v>
      </c>
      <c r="H28" s="3"/>
      <c r="I28" s="3"/>
      <c r="J28" s="3"/>
      <c r="K28" s="3"/>
      <c r="L28" s="3"/>
    </row>
    <row r="29" spans="2:12" x14ac:dyDescent="0.3">
      <c r="B29" s="282"/>
      <c r="C29" s="284" t="s">
        <v>7</v>
      </c>
      <c r="D29" s="286">
        <v>24525</v>
      </c>
      <c r="E29" s="287" t="s">
        <v>109</v>
      </c>
      <c r="F29" s="288">
        <f>D29/9.81</f>
        <v>2500</v>
      </c>
      <c r="G29" s="288"/>
      <c r="H29" s="3"/>
      <c r="I29" s="3"/>
      <c r="J29" s="3"/>
      <c r="K29" s="3"/>
      <c r="L29" s="3"/>
    </row>
    <row r="30" spans="2:12" x14ac:dyDescent="0.3">
      <c r="B30" s="282"/>
      <c r="C30" s="284" t="s">
        <v>126</v>
      </c>
      <c r="D30" s="286">
        <v>2500</v>
      </c>
      <c r="E30" s="288">
        <f>D30*9.81</f>
        <v>24525</v>
      </c>
      <c r="F30" s="287" t="s">
        <v>109</v>
      </c>
      <c r="G30" s="288"/>
      <c r="H30" s="3"/>
      <c r="I30" s="3"/>
      <c r="J30" s="3"/>
      <c r="K30" s="3"/>
      <c r="L30" s="3"/>
    </row>
    <row r="31" spans="2:12" x14ac:dyDescent="0.3">
      <c r="B31" s="282"/>
      <c r="C31" s="284" t="s">
        <v>274</v>
      </c>
      <c r="D31" s="286"/>
      <c r="E31" s="288"/>
      <c r="F31" s="288"/>
      <c r="G31" s="289" t="s">
        <v>109</v>
      </c>
      <c r="H31" s="3"/>
      <c r="I31" s="3"/>
      <c r="J31" s="3"/>
      <c r="K31" s="3"/>
      <c r="L31" s="3"/>
    </row>
    <row r="32" spans="2:12" x14ac:dyDescent="0.3">
      <c r="B32" s="2"/>
      <c r="C32" s="4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3">
      <c r="B33" s="2"/>
      <c r="C33" s="4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3">
      <c r="B34" s="2"/>
      <c r="C34" s="4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3">
      <c r="B35" s="2"/>
      <c r="C35" s="4"/>
      <c r="D35" s="3"/>
      <c r="E35" s="3"/>
      <c r="F35" s="3"/>
      <c r="G35" s="3"/>
      <c r="H35" s="3"/>
      <c r="I35" s="3"/>
      <c r="J35" s="3"/>
      <c r="K35" s="3"/>
      <c r="L35" s="3"/>
    </row>
    <row r="36" spans="2:12" x14ac:dyDescent="0.3">
      <c r="B36" s="2"/>
      <c r="C36" s="4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3">
      <c r="B37" s="2"/>
      <c r="C37" s="4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3">
      <c r="B38" s="136" t="s">
        <v>66</v>
      </c>
      <c r="C38" s="137"/>
      <c r="D38" s="137"/>
      <c r="E38" s="137" t="s">
        <v>67</v>
      </c>
      <c r="F38" s="137" t="s">
        <v>123</v>
      </c>
      <c r="G38" s="137"/>
      <c r="H38" s="3"/>
      <c r="I38" s="3"/>
      <c r="J38" s="3"/>
      <c r="K38" s="3"/>
      <c r="L38" s="3"/>
    </row>
    <row r="39" spans="2:12" x14ac:dyDescent="0.3">
      <c r="B39" s="135"/>
      <c r="C39" s="137" t="s">
        <v>67</v>
      </c>
      <c r="D39" s="58"/>
      <c r="E39" s="138" t="s">
        <v>109</v>
      </c>
      <c r="F39" s="137">
        <f>D39/60</f>
        <v>0</v>
      </c>
      <c r="G39" s="137"/>
      <c r="H39" s="3"/>
      <c r="I39" s="3"/>
      <c r="J39" s="3"/>
      <c r="K39" s="3"/>
      <c r="L39" s="3"/>
    </row>
    <row r="40" spans="2:12" x14ac:dyDescent="0.3">
      <c r="B40" s="140"/>
      <c r="C40" s="137" t="s">
        <v>123</v>
      </c>
      <c r="D40" s="141"/>
      <c r="E40" s="142">
        <f>D40*60</f>
        <v>0</v>
      </c>
      <c r="F40" s="143" t="s">
        <v>109</v>
      </c>
      <c r="G40" s="142"/>
      <c r="H40" s="3"/>
      <c r="I40" s="3"/>
      <c r="J40" s="3"/>
      <c r="K40" s="3"/>
      <c r="L40" s="3"/>
    </row>
    <row r="41" spans="2:12" x14ac:dyDescent="0.3">
      <c r="B41" s="144"/>
      <c r="C41" s="137"/>
      <c r="D41" s="58"/>
      <c r="E41" s="137"/>
      <c r="F41" s="137"/>
      <c r="G41" s="139" t="s">
        <v>109</v>
      </c>
      <c r="H41" s="3"/>
      <c r="I41" s="3"/>
      <c r="J41" s="3"/>
      <c r="K41" s="3"/>
      <c r="L41" s="3"/>
    </row>
    <row r="42" spans="2:12" x14ac:dyDescent="0.3"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3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3">
      <c r="B44" s="74" t="s">
        <v>8</v>
      </c>
      <c r="C44" s="75"/>
      <c r="D44" s="75"/>
      <c r="E44" s="75" t="s">
        <v>9</v>
      </c>
      <c r="F44" s="75" t="s">
        <v>13</v>
      </c>
      <c r="G44" s="75" t="s">
        <v>14</v>
      </c>
      <c r="H44" s="3"/>
      <c r="I44" s="3"/>
      <c r="J44" s="3"/>
      <c r="K44" s="3"/>
      <c r="L44" s="3"/>
    </row>
    <row r="45" spans="2:12" x14ac:dyDescent="0.3">
      <c r="B45" s="76"/>
      <c r="C45" s="75" t="s">
        <v>9</v>
      </c>
      <c r="D45" s="78">
        <v>1</v>
      </c>
      <c r="E45" s="79" t="s">
        <v>109</v>
      </c>
      <c r="F45" s="75" t="e">
        <f>E45/60</f>
        <v>#VALUE!</v>
      </c>
      <c r="G45" s="75">
        <f>D45/3600</f>
        <v>2.7777777777777778E-4</v>
      </c>
      <c r="H45" s="3"/>
      <c r="I45" s="3"/>
      <c r="J45" s="3"/>
      <c r="K45" s="3"/>
      <c r="L45" s="3"/>
    </row>
    <row r="46" spans="2:12" x14ac:dyDescent="0.3">
      <c r="B46" s="76"/>
      <c r="C46" s="75" t="s">
        <v>13</v>
      </c>
      <c r="D46" s="78">
        <v>1</v>
      </c>
      <c r="E46" s="75">
        <f>D46*60</f>
        <v>60</v>
      </c>
      <c r="F46" s="79" t="s">
        <v>109</v>
      </c>
      <c r="G46" s="75">
        <f>D46/60</f>
        <v>1.6666666666666666E-2</v>
      </c>
      <c r="H46" s="3"/>
      <c r="I46" s="3"/>
      <c r="J46" s="3"/>
      <c r="K46" s="3"/>
      <c r="L46" s="3"/>
    </row>
    <row r="47" spans="2:12" x14ac:dyDescent="0.3">
      <c r="B47" s="77"/>
      <c r="C47" s="75" t="s">
        <v>14</v>
      </c>
      <c r="D47" s="78">
        <v>1</v>
      </c>
      <c r="E47" s="75">
        <f>D47*3600</f>
        <v>3600</v>
      </c>
      <c r="F47" s="75">
        <f>D47*60</f>
        <v>60</v>
      </c>
      <c r="G47" s="79" t="s">
        <v>109</v>
      </c>
      <c r="H47" s="3"/>
      <c r="I47" s="3"/>
      <c r="J47" s="3"/>
      <c r="K47" s="3"/>
      <c r="L47" s="3"/>
    </row>
    <row r="48" spans="2:12" x14ac:dyDescent="0.3"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x14ac:dyDescent="0.3">
      <c r="B49" s="80" t="s">
        <v>0</v>
      </c>
      <c r="C49" s="81"/>
      <c r="D49" s="81"/>
      <c r="E49" s="81" t="s">
        <v>10</v>
      </c>
      <c r="F49" s="81" t="s">
        <v>11</v>
      </c>
      <c r="G49" s="81" t="s">
        <v>12</v>
      </c>
      <c r="H49" s="3"/>
      <c r="I49" s="3"/>
      <c r="J49" s="3"/>
      <c r="K49" s="3"/>
      <c r="L49" s="3"/>
    </row>
    <row r="50" spans="2:12" x14ac:dyDescent="0.3">
      <c r="B50" s="82"/>
      <c r="C50" s="81" t="s">
        <v>10</v>
      </c>
      <c r="D50" s="84">
        <v>1</v>
      </c>
      <c r="E50" s="85" t="s">
        <v>109</v>
      </c>
      <c r="F50" s="81">
        <f>D50/1000</f>
        <v>1E-3</v>
      </c>
      <c r="G50" s="81">
        <f>D50*1.36/1000</f>
        <v>1.3600000000000001E-3</v>
      </c>
      <c r="H50" s="3"/>
      <c r="I50" s="3"/>
      <c r="J50" s="3"/>
      <c r="K50" s="3"/>
      <c r="L50" s="3"/>
    </row>
    <row r="51" spans="2:12" x14ac:dyDescent="0.3">
      <c r="B51" s="82"/>
      <c r="C51" s="81" t="s">
        <v>11</v>
      </c>
      <c r="D51" s="84">
        <v>1</v>
      </c>
      <c r="E51" s="81">
        <f>D51*1000</f>
        <v>1000</v>
      </c>
      <c r="F51" s="85" t="s">
        <v>109</v>
      </c>
      <c r="G51" s="81">
        <f>D51*1.36</f>
        <v>1.36</v>
      </c>
      <c r="H51" s="3"/>
      <c r="I51" s="3"/>
      <c r="J51" s="3"/>
      <c r="K51" s="3"/>
      <c r="L51" s="3"/>
    </row>
    <row r="52" spans="2:12" x14ac:dyDescent="0.3">
      <c r="B52" s="83"/>
      <c r="C52" s="81" t="s">
        <v>12</v>
      </c>
      <c r="D52" s="84">
        <v>1</v>
      </c>
      <c r="E52" s="81">
        <f>D52*0.736*1000</f>
        <v>736</v>
      </c>
      <c r="F52" s="81">
        <f>D52*0.736</f>
        <v>0.73599999999999999</v>
      </c>
      <c r="G52" s="85" t="s">
        <v>109</v>
      </c>
      <c r="H52" s="3"/>
      <c r="I52" s="3"/>
      <c r="J52" s="3"/>
      <c r="K52" s="3"/>
      <c r="L52" s="3"/>
    </row>
    <row r="53" spans="2:12" x14ac:dyDescent="0.3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 x14ac:dyDescent="0.3">
      <c r="B54" s="86" t="s">
        <v>18</v>
      </c>
      <c r="C54" s="87"/>
      <c r="D54" s="87"/>
      <c r="E54" s="87" t="s">
        <v>19</v>
      </c>
      <c r="F54" s="87" t="s">
        <v>32</v>
      </c>
      <c r="G54" s="87" t="s">
        <v>33</v>
      </c>
      <c r="H54" s="3"/>
      <c r="I54" s="3"/>
      <c r="J54" s="3"/>
      <c r="K54" s="3"/>
      <c r="L54" s="3"/>
    </row>
    <row r="55" spans="2:12" x14ac:dyDescent="0.3">
      <c r="B55" s="88"/>
      <c r="C55" s="87" t="s">
        <v>19</v>
      </c>
      <c r="D55" s="91">
        <v>1</v>
      </c>
      <c r="E55" s="90" t="s">
        <v>109</v>
      </c>
      <c r="F55" s="87">
        <f>D55/60</f>
        <v>1.6666666666666666E-2</v>
      </c>
      <c r="G55" s="87">
        <f>D55*3.6</f>
        <v>3.6</v>
      </c>
      <c r="H55" s="3"/>
      <c r="I55" s="3"/>
      <c r="J55" s="3"/>
      <c r="K55" s="3"/>
      <c r="L55" s="3"/>
    </row>
    <row r="56" spans="2:12" x14ac:dyDescent="0.3">
      <c r="B56" s="88"/>
      <c r="C56" s="87" t="s">
        <v>32</v>
      </c>
      <c r="D56" s="91">
        <v>1</v>
      </c>
      <c r="E56" s="87">
        <f>D56/60</f>
        <v>1.6666666666666666E-2</v>
      </c>
      <c r="F56" s="90" t="s">
        <v>109</v>
      </c>
      <c r="G56" s="87">
        <f>D56*0.06</f>
        <v>0.06</v>
      </c>
      <c r="H56" s="3"/>
      <c r="I56" s="3"/>
      <c r="J56" s="3"/>
      <c r="K56" s="3"/>
      <c r="L56" s="3"/>
    </row>
    <row r="57" spans="2:12" x14ac:dyDescent="0.3">
      <c r="B57" s="89"/>
      <c r="C57" s="87" t="s">
        <v>33</v>
      </c>
      <c r="D57" s="91">
        <v>1</v>
      </c>
      <c r="E57" s="87">
        <f>D57*(1/3.6)</f>
        <v>0.27777777777777779</v>
      </c>
      <c r="F57" s="87">
        <f>D57/0.06</f>
        <v>16.666666666666668</v>
      </c>
      <c r="G57" s="90" t="s">
        <v>109</v>
      </c>
      <c r="H57" s="3"/>
      <c r="I57" s="3"/>
      <c r="J57" s="3"/>
      <c r="K57" s="3"/>
      <c r="L57" s="3"/>
    </row>
    <row r="58" spans="2:12" x14ac:dyDescent="0.3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 x14ac:dyDescent="0.3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 x14ac:dyDescent="0.3">
      <c r="B60" s="92" t="s">
        <v>20</v>
      </c>
      <c r="C60" s="93"/>
      <c r="D60" s="93"/>
      <c r="E60" s="93" t="s">
        <v>27</v>
      </c>
      <c r="F60" s="93" t="s">
        <v>34</v>
      </c>
      <c r="G60" s="93" t="s">
        <v>39</v>
      </c>
      <c r="H60" s="93" t="s">
        <v>38</v>
      </c>
      <c r="I60" s="3"/>
      <c r="J60" s="3"/>
      <c r="K60" s="3"/>
      <c r="L60" s="3"/>
    </row>
    <row r="61" spans="2:12" x14ac:dyDescent="0.3">
      <c r="B61" s="94"/>
      <c r="C61" s="93" t="s">
        <v>27</v>
      </c>
      <c r="D61" s="96"/>
      <c r="E61" s="97" t="s">
        <v>109</v>
      </c>
      <c r="F61" s="93">
        <f>D61</f>
        <v>0</v>
      </c>
      <c r="G61" s="93">
        <f>D61*1000</f>
        <v>0</v>
      </c>
      <c r="H61" s="93">
        <f>D61/16.666666666667</f>
        <v>0</v>
      </c>
      <c r="I61" s="3"/>
      <c r="J61" s="3"/>
      <c r="K61" s="3"/>
      <c r="L61" s="3"/>
    </row>
    <row r="62" spans="2:12" x14ac:dyDescent="0.3">
      <c r="B62" s="94"/>
      <c r="C62" s="93" t="s">
        <v>37</v>
      </c>
      <c r="D62" s="96"/>
      <c r="E62" s="93">
        <f>D62</f>
        <v>0</v>
      </c>
      <c r="F62" s="97" t="s">
        <v>109</v>
      </c>
      <c r="G62" s="93">
        <f>D62*1000</f>
        <v>0</v>
      </c>
      <c r="H62" s="93">
        <f>D62/16.666666666667</f>
        <v>0</v>
      </c>
      <c r="I62" s="3"/>
      <c r="J62" s="3"/>
      <c r="K62" s="3"/>
      <c r="L62" s="3"/>
    </row>
    <row r="63" spans="2:12" x14ac:dyDescent="0.3">
      <c r="B63" s="94"/>
      <c r="C63" s="93" t="s">
        <v>39</v>
      </c>
      <c r="D63" s="96"/>
      <c r="E63" s="93">
        <f>D63/1000</f>
        <v>0</v>
      </c>
      <c r="F63" s="93">
        <f>D63/1000</f>
        <v>0</v>
      </c>
      <c r="G63" s="97" t="s">
        <v>109</v>
      </c>
      <c r="H63" s="93">
        <f>D63/0.01666666666</f>
        <v>0</v>
      </c>
      <c r="I63" s="3"/>
      <c r="J63" s="3"/>
      <c r="K63" s="3"/>
      <c r="L63" s="3"/>
    </row>
    <row r="64" spans="2:12" x14ac:dyDescent="0.3">
      <c r="B64" s="94"/>
      <c r="C64" s="93" t="s">
        <v>38</v>
      </c>
      <c r="D64" s="96"/>
      <c r="E64" s="93">
        <f>D64*16.666666666667</f>
        <v>0</v>
      </c>
      <c r="F64" s="93">
        <f>D64*16.666666666667</f>
        <v>0</v>
      </c>
      <c r="G64" s="93">
        <f>D64*16666.666666667</f>
        <v>0</v>
      </c>
      <c r="H64" s="97" t="s">
        <v>109</v>
      </c>
      <c r="I64" s="3"/>
      <c r="J64" s="3"/>
      <c r="K64" s="3"/>
      <c r="L64" s="3"/>
    </row>
    <row r="65" spans="2:12" x14ac:dyDescent="0.3">
      <c r="B65" s="95"/>
      <c r="C65" s="93"/>
      <c r="D65" s="96"/>
      <c r="E65" s="93"/>
      <c r="F65" s="93"/>
      <c r="G65" s="93"/>
      <c r="H65" s="93"/>
      <c r="I65" s="3"/>
      <c r="J65" s="3"/>
      <c r="K65" s="3"/>
      <c r="L65" s="3"/>
    </row>
    <row r="66" spans="2:12" x14ac:dyDescent="0.3"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3"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3">
      <c r="B68" s="98" t="s">
        <v>21</v>
      </c>
      <c r="C68" s="99"/>
      <c r="D68" s="99"/>
      <c r="E68" s="99" t="s">
        <v>30</v>
      </c>
      <c r="F68" s="99" t="s">
        <v>31</v>
      </c>
      <c r="G68" s="99" t="s">
        <v>28</v>
      </c>
      <c r="H68" s="99" t="s">
        <v>29</v>
      </c>
      <c r="I68" s="3"/>
      <c r="J68" s="3"/>
      <c r="K68" s="3"/>
      <c r="L68" s="3"/>
    </row>
    <row r="69" spans="2:12" x14ac:dyDescent="0.3">
      <c r="B69" s="100"/>
      <c r="C69" s="99" t="s">
        <v>30</v>
      </c>
      <c r="D69" s="102">
        <v>1</v>
      </c>
      <c r="E69" s="103" t="s">
        <v>109</v>
      </c>
      <c r="F69" s="99">
        <f>D69/1000</f>
        <v>1E-3</v>
      </c>
      <c r="G69" s="99">
        <f>D69/1000000</f>
        <v>9.9999999999999995E-7</v>
      </c>
      <c r="H69" s="99">
        <f>D69/10000000000</f>
        <v>1E-10</v>
      </c>
      <c r="I69" s="3"/>
      <c r="J69" s="3"/>
      <c r="K69" s="3"/>
      <c r="L69" s="3"/>
    </row>
    <row r="70" spans="2:12" x14ac:dyDescent="0.3">
      <c r="B70" s="100"/>
      <c r="C70" s="99" t="s">
        <v>31</v>
      </c>
      <c r="D70" s="102">
        <v>1</v>
      </c>
      <c r="E70" s="99">
        <f>D70*1000</f>
        <v>1000</v>
      </c>
      <c r="F70" s="103" t="s">
        <v>109</v>
      </c>
      <c r="G70" s="99">
        <f>D70/1000</f>
        <v>1E-3</v>
      </c>
      <c r="H70" s="99">
        <f>D70/10000000</f>
        <v>9.9999999999999995E-8</v>
      </c>
      <c r="I70" s="3"/>
      <c r="J70" s="3"/>
      <c r="K70" s="3"/>
      <c r="L70" s="3"/>
    </row>
    <row r="71" spans="2:12" x14ac:dyDescent="0.3">
      <c r="B71" s="100"/>
      <c r="C71" s="99" t="s">
        <v>28</v>
      </c>
      <c r="D71" s="102">
        <v>4.4000000000000004</v>
      </c>
      <c r="E71" s="99">
        <f>D71*1000000</f>
        <v>4400000</v>
      </c>
      <c r="F71" s="99">
        <f>D71*1000</f>
        <v>4400</v>
      </c>
      <c r="G71" s="103" t="s">
        <v>109</v>
      </c>
      <c r="H71" s="99">
        <f>D71/10000</f>
        <v>4.4000000000000002E-4</v>
      </c>
      <c r="I71" s="3"/>
      <c r="J71" s="3"/>
      <c r="K71" s="3"/>
      <c r="L71" s="3"/>
    </row>
    <row r="72" spans="2:12" x14ac:dyDescent="0.3">
      <c r="B72" s="101"/>
      <c r="C72" s="99" t="s">
        <v>29</v>
      </c>
      <c r="D72" s="102">
        <v>1</v>
      </c>
      <c r="E72" s="99">
        <f>D72*10000000000</f>
        <v>10000000000</v>
      </c>
      <c r="F72" s="99">
        <f>D72*10000000</f>
        <v>10000000</v>
      </c>
      <c r="G72" s="99">
        <f>D72*10000</f>
        <v>10000</v>
      </c>
      <c r="H72" s="103" t="s">
        <v>109</v>
      </c>
      <c r="I72" s="3"/>
      <c r="J72" s="3"/>
      <c r="K72" s="3"/>
      <c r="L72" s="3"/>
    </row>
    <row r="75" spans="2:12" x14ac:dyDescent="0.3">
      <c r="B75" s="65" t="s">
        <v>114</v>
      </c>
      <c r="C75" s="130"/>
      <c r="D75" s="131"/>
      <c r="E75" s="130" t="s">
        <v>115</v>
      </c>
      <c r="F75" s="130" t="s">
        <v>116</v>
      </c>
      <c r="G75" s="130" t="s">
        <v>117</v>
      </c>
    </row>
    <row r="76" spans="2:12" x14ac:dyDescent="0.3">
      <c r="B76" s="133"/>
      <c r="C76" s="130" t="s">
        <v>115</v>
      </c>
      <c r="D76" s="131">
        <v>18</v>
      </c>
      <c r="E76" s="132" t="s">
        <v>109</v>
      </c>
      <c r="F76" s="130">
        <f>D76*(9/5)+32</f>
        <v>64.400000000000006</v>
      </c>
      <c r="G76" s="130">
        <f>D76+273.15</f>
        <v>291.14999999999998</v>
      </c>
    </row>
    <row r="77" spans="2:12" x14ac:dyDescent="0.3">
      <c r="B77" s="133"/>
      <c r="C77" s="130" t="s">
        <v>116</v>
      </c>
      <c r="D77" s="131">
        <v>1</v>
      </c>
      <c r="E77" s="130">
        <f>(D77-32)*5/9</f>
        <v>-17.222222222222221</v>
      </c>
      <c r="F77" s="132" t="s">
        <v>109</v>
      </c>
      <c r="G77" s="130">
        <f>(D77-32)*5/9+273.15</f>
        <v>255.92777777777775</v>
      </c>
    </row>
    <row r="78" spans="2:12" x14ac:dyDescent="0.3">
      <c r="B78" s="134"/>
      <c r="C78" s="130" t="s">
        <v>117</v>
      </c>
      <c r="D78" s="131">
        <v>402.90899999999999</v>
      </c>
      <c r="E78" s="130">
        <f>D78-273.15</f>
        <v>129.75900000000001</v>
      </c>
      <c r="F78" s="130">
        <f>(D78-273.15)*9/5+32</f>
        <v>265.56620000000004</v>
      </c>
      <c r="G78" s="132" t="s">
        <v>109</v>
      </c>
    </row>
  </sheetData>
  <mergeCells count="2">
    <mergeCell ref="A8:F8"/>
    <mergeCell ref="N8:R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FADE-1BA7-4888-9043-941A472F1863}">
  <dimension ref="B2:Q199"/>
  <sheetViews>
    <sheetView topLeftCell="B9" zoomScale="80" zoomScaleNormal="100" workbookViewId="0">
      <selection activeCell="O199" sqref="A1:XFD1048576"/>
    </sheetView>
  </sheetViews>
  <sheetFormatPr baseColWidth="10" defaultRowHeight="14.4" x14ac:dyDescent="0.3"/>
  <cols>
    <col min="3" max="3" width="18.109375" customWidth="1"/>
    <col min="4" max="4" width="19.77734375" customWidth="1"/>
    <col min="5" max="5" width="11.5546875" style="235"/>
    <col min="11" max="11" width="11.5546875" customWidth="1"/>
    <col min="12" max="12" width="21.44140625" customWidth="1"/>
    <col min="13" max="13" width="22.6640625" customWidth="1"/>
  </cols>
  <sheetData>
    <row r="2" spans="2:17" ht="15" thickBot="1" x14ac:dyDescent="0.35"/>
    <row r="3" spans="2:17" ht="21.6" thickBot="1" x14ac:dyDescent="0.35">
      <c r="B3" s="32"/>
      <c r="C3" s="430" t="s">
        <v>0</v>
      </c>
      <c r="D3" s="431"/>
      <c r="E3" s="431"/>
      <c r="F3" s="431"/>
      <c r="G3" s="431"/>
      <c r="H3" s="432"/>
      <c r="I3" s="32"/>
    </row>
    <row r="4" spans="2:17" x14ac:dyDescent="0.3">
      <c r="B4" s="32"/>
      <c r="C4" s="245"/>
      <c r="D4" s="246"/>
      <c r="E4" s="309"/>
      <c r="F4" s="246"/>
      <c r="G4" s="246"/>
      <c r="H4" s="247"/>
      <c r="I4" s="32"/>
    </row>
    <row r="5" spans="2:17" x14ac:dyDescent="0.3">
      <c r="B5" s="32"/>
      <c r="C5" s="245"/>
      <c r="D5" s="246"/>
      <c r="E5" s="309" t="s">
        <v>64</v>
      </c>
      <c r="F5" s="35"/>
      <c r="G5" s="246" t="s">
        <v>65</v>
      </c>
      <c r="H5" s="247"/>
      <c r="I5" s="32"/>
    </row>
    <row r="6" spans="2:17" x14ac:dyDescent="0.3">
      <c r="B6" s="32"/>
      <c r="C6" s="245"/>
      <c r="D6" s="246"/>
      <c r="E6" s="309" t="s">
        <v>66</v>
      </c>
      <c r="F6" s="35"/>
      <c r="G6" s="246" t="s">
        <v>67</v>
      </c>
      <c r="H6" s="247"/>
      <c r="I6" s="32"/>
      <c r="J6" s="147"/>
    </row>
    <row r="7" spans="2:17" x14ac:dyDescent="0.3">
      <c r="B7" s="32"/>
      <c r="C7" s="245"/>
      <c r="D7" s="246"/>
      <c r="E7" s="309" t="s">
        <v>68</v>
      </c>
      <c r="F7" s="172">
        <v>9550</v>
      </c>
      <c r="G7" s="246"/>
      <c r="H7" s="247"/>
      <c r="I7" s="32"/>
    </row>
    <row r="8" spans="2:17" x14ac:dyDescent="0.3">
      <c r="B8" s="32"/>
      <c r="C8" s="245"/>
      <c r="D8" s="246"/>
      <c r="E8" s="309"/>
      <c r="F8" s="246"/>
      <c r="G8" s="246"/>
      <c r="H8" s="247"/>
      <c r="I8" s="32"/>
    </row>
    <row r="9" spans="2:17" x14ac:dyDescent="0.3">
      <c r="B9" s="32"/>
      <c r="C9" s="450" t="s">
        <v>69</v>
      </c>
      <c r="D9" s="451"/>
      <c r="E9" s="451"/>
      <c r="F9" s="451"/>
      <c r="G9" s="36">
        <f>(F5*F6)/F7</f>
        <v>0</v>
      </c>
      <c r="H9" s="248" t="s">
        <v>70</v>
      </c>
      <c r="I9" s="32"/>
    </row>
    <row r="10" spans="2:17" x14ac:dyDescent="0.3">
      <c r="B10" s="32"/>
      <c r="C10" s="32"/>
      <c r="D10" s="32"/>
      <c r="E10" s="236"/>
      <c r="F10" s="32"/>
      <c r="G10" s="32"/>
      <c r="H10" s="32"/>
      <c r="I10" s="32"/>
    </row>
    <row r="11" spans="2:17" ht="15" thickBot="1" x14ac:dyDescent="0.35">
      <c r="B11" s="32"/>
      <c r="C11" s="32"/>
      <c r="D11" s="32"/>
      <c r="E11" s="236"/>
      <c r="F11" s="32"/>
      <c r="G11" s="32"/>
      <c r="H11" s="32"/>
      <c r="I11" s="32"/>
    </row>
    <row r="12" spans="2:17" ht="21.6" thickBot="1" x14ac:dyDescent="0.35">
      <c r="B12" s="32"/>
      <c r="C12" s="430" t="s">
        <v>64</v>
      </c>
      <c r="D12" s="431"/>
      <c r="E12" s="431"/>
      <c r="F12" s="431"/>
      <c r="G12" s="431"/>
      <c r="H12" s="432"/>
      <c r="I12" s="32"/>
      <c r="L12" s="430" t="s">
        <v>463</v>
      </c>
      <c r="M12" s="431"/>
      <c r="N12" s="431"/>
      <c r="O12" s="431"/>
      <c r="P12" s="431"/>
      <c r="Q12" s="432"/>
    </row>
    <row r="13" spans="2:17" x14ac:dyDescent="0.3">
      <c r="B13" s="32"/>
      <c r="C13" s="249"/>
      <c r="D13" s="250"/>
      <c r="E13" s="310"/>
      <c r="F13" s="250"/>
      <c r="G13" s="250"/>
      <c r="H13" s="251"/>
      <c r="I13" s="32"/>
      <c r="L13" s="249"/>
      <c r="M13" s="250"/>
      <c r="N13" s="310"/>
      <c r="O13" s="250"/>
      <c r="P13" s="250"/>
      <c r="Q13" s="251"/>
    </row>
    <row r="14" spans="2:17" x14ac:dyDescent="0.3">
      <c r="B14" s="32"/>
      <c r="C14" s="249"/>
      <c r="D14" s="250"/>
      <c r="E14" s="310" t="s">
        <v>66</v>
      </c>
      <c r="F14" s="38"/>
      <c r="G14" s="250" t="s">
        <v>67</v>
      </c>
      <c r="H14" s="251"/>
      <c r="I14" s="32"/>
      <c r="L14" s="249"/>
      <c r="M14" s="435" t="s">
        <v>460</v>
      </c>
      <c r="N14" s="436"/>
      <c r="O14" s="38">
        <v>100</v>
      </c>
      <c r="P14" s="250" t="s">
        <v>65</v>
      </c>
      <c r="Q14" s="251"/>
    </row>
    <row r="15" spans="2:17" x14ac:dyDescent="0.3">
      <c r="B15" s="32"/>
      <c r="C15" s="249"/>
      <c r="D15" s="250"/>
      <c r="E15" s="310" t="s">
        <v>0</v>
      </c>
      <c r="F15" s="38"/>
      <c r="G15" s="250" t="s">
        <v>70</v>
      </c>
      <c r="H15" s="251"/>
      <c r="I15" s="32"/>
      <c r="L15" s="437" t="s">
        <v>461</v>
      </c>
      <c r="M15" s="435"/>
      <c r="N15" s="436"/>
      <c r="O15" s="38">
        <v>80</v>
      </c>
      <c r="P15" s="250" t="s">
        <v>65</v>
      </c>
      <c r="Q15" s="251"/>
    </row>
    <row r="16" spans="2:17" x14ac:dyDescent="0.3">
      <c r="B16" s="32"/>
      <c r="C16" s="249"/>
      <c r="D16" s="250"/>
      <c r="E16" s="310" t="s">
        <v>71</v>
      </c>
      <c r="F16" s="170">
        <v>9550</v>
      </c>
      <c r="G16" s="250"/>
      <c r="H16" s="251"/>
      <c r="I16" s="32"/>
      <c r="L16" s="249"/>
      <c r="M16" s="250"/>
      <c r="N16" s="310"/>
      <c r="O16" s="250"/>
      <c r="P16" s="250"/>
      <c r="Q16" s="251"/>
    </row>
    <row r="17" spans="2:17" x14ac:dyDescent="0.3">
      <c r="B17" s="32"/>
      <c r="C17" s="249"/>
      <c r="D17" s="250"/>
      <c r="E17" s="310"/>
      <c r="F17" s="250"/>
      <c r="G17" s="250"/>
      <c r="H17" s="251"/>
      <c r="I17" s="32"/>
      <c r="L17" s="433" t="s">
        <v>462</v>
      </c>
      <c r="M17" s="434"/>
      <c r="N17" s="434"/>
      <c r="O17" s="434"/>
      <c r="P17" s="39">
        <f>(O14-O15)/O14*100</f>
        <v>20</v>
      </c>
      <c r="Q17" s="252" t="s">
        <v>122</v>
      </c>
    </row>
    <row r="18" spans="2:17" x14ac:dyDescent="0.3">
      <c r="B18" s="32"/>
      <c r="C18" s="433" t="s">
        <v>72</v>
      </c>
      <c r="D18" s="434"/>
      <c r="E18" s="434"/>
      <c r="F18" s="434"/>
      <c r="G18" s="39" t="e">
        <f>(F15*F16)/F14</f>
        <v>#DIV/0!</v>
      </c>
      <c r="H18" s="252" t="s">
        <v>65</v>
      </c>
      <c r="I18" s="32"/>
    </row>
    <row r="19" spans="2:17" x14ac:dyDescent="0.3">
      <c r="B19" s="32"/>
      <c r="C19" s="32"/>
      <c r="D19" s="32"/>
      <c r="E19" s="236"/>
      <c r="F19" s="32"/>
      <c r="G19" s="32"/>
      <c r="H19" s="32"/>
      <c r="I19" s="32"/>
    </row>
    <row r="20" spans="2:17" ht="15" thickBot="1" x14ac:dyDescent="0.35">
      <c r="B20" s="32"/>
      <c r="C20" s="32"/>
      <c r="D20" s="32"/>
      <c r="E20" s="236"/>
      <c r="F20" s="32"/>
      <c r="G20" s="32"/>
      <c r="H20" s="32"/>
      <c r="I20" s="32"/>
    </row>
    <row r="21" spans="2:17" ht="24" thickBot="1" x14ac:dyDescent="0.35">
      <c r="B21" s="32"/>
      <c r="C21" s="452" t="s">
        <v>66</v>
      </c>
      <c r="D21" s="431"/>
      <c r="E21" s="431"/>
      <c r="F21" s="431"/>
      <c r="G21" s="431"/>
      <c r="H21" s="432"/>
      <c r="I21" s="32"/>
    </row>
    <row r="22" spans="2:17" x14ac:dyDescent="0.3">
      <c r="B22" s="32"/>
      <c r="C22" s="253"/>
      <c r="D22" s="254"/>
      <c r="E22" s="311"/>
      <c r="F22" s="254"/>
      <c r="G22" s="254"/>
      <c r="H22" s="255"/>
      <c r="I22" s="32"/>
    </row>
    <row r="23" spans="2:17" x14ac:dyDescent="0.3">
      <c r="B23" s="32"/>
      <c r="C23" s="253"/>
      <c r="D23" s="254"/>
      <c r="E23" s="311" t="s">
        <v>0</v>
      </c>
      <c r="F23" s="42"/>
      <c r="G23" s="254" t="s">
        <v>70</v>
      </c>
      <c r="H23" s="255"/>
      <c r="I23" s="32"/>
    </row>
    <row r="24" spans="2:17" x14ac:dyDescent="0.3">
      <c r="B24" s="32"/>
      <c r="C24" s="253"/>
      <c r="D24" s="254"/>
      <c r="E24" s="311" t="s">
        <v>64</v>
      </c>
      <c r="F24" s="42"/>
      <c r="G24" s="254" t="s">
        <v>65</v>
      </c>
      <c r="H24" s="255"/>
      <c r="I24" s="32"/>
    </row>
    <row r="25" spans="2:17" x14ac:dyDescent="0.3">
      <c r="B25" s="32"/>
      <c r="C25" s="253"/>
      <c r="D25" s="254"/>
      <c r="E25" s="311" t="s">
        <v>71</v>
      </c>
      <c r="F25" s="171">
        <v>9550</v>
      </c>
      <c r="G25" s="254"/>
      <c r="H25" s="255"/>
      <c r="I25" s="32"/>
    </row>
    <row r="26" spans="2:17" x14ac:dyDescent="0.3">
      <c r="B26" s="32"/>
      <c r="C26" s="253"/>
      <c r="D26" s="254"/>
      <c r="E26" s="311"/>
      <c r="F26" s="254"/>
      <c r="G26" s="254"/>
      <c r="H26" s="255"/>
      <c r="I26" s="32"/>
    </row>
    <row r="27" spans="2:17" x14ac:dyDescent="0.3">
      <c r="B27" s="32"/>
      <c r="C27" s="448" t="s">
        <v>73</v>
      </c>
      <c r="D27" s="449"/>
      <c r="E27" s="449"/>
      <c r="F27" s="449"/>
      <c r="G27" s="43" t="e">
        <f>(F23*F25)/F24</f>
        <v>#DIV/0!</v>
      </c>
      <c r="H27" s="256" t="s">
        <v>67</v>
      </c>
      <c r="I27" s="32"/>
    </row>
    <row r="28" spans="2:17" x14ac:dyDescent="0.3">
      <c r="B28" s="32"/>
      <c r="C28" s="32"/>
      <c r="D28" s="32"/>
      <c r="E28" s="236"/>
      <c r="F28" s="32"/>
      <c r="G28" s="32"/>
      <c r="H28" s="32"/>
      <c r="I28" s="32"/>
    </row>
    <row r="29" spans="2:17" ht="15" thickBot="1" x14ac:dyDescent="0.35">
      <c r="B29" s="32"/>
      <c r="C29" s="32"/>
      <c r="D29" s="32"/>
      <c r="E29" s="236"/>
      <c r="F29" s="32"/>
      <c r="G29" s="32"/>
      <c r="H29" s="32"/>
      <c r="I29" s="32"/>
    </row>
    <row r="30" spans="2:17" ht="21.6" thickBot="1" x14ac:dyDescent="0.45">
      <c r="B30" s="32"/>
      <c r="C30" s="453" t="s">
        <v>276</v>
      </c>
      <c r="D30" s="454"/>
      <c r="E30" s="454"/>
      <c r="F30" s="454"/>
      <c r="G30" s="455"/>
      <c r="H30" s="32"/>
      <c r="I30" s="32"/>
    </row>
    <row r="31" spans="2:17" x14ac:dyDescent="0.3">
      <c r="B31" s="32"/>
      <c r="C31" s="344" t="s">
        <v>216</v>
      </c>
      <c r="D31" s="345"/>
      <c r="E31" s="161"/>
      <c r="F31" s="166">
        <f>E32*E33</f>
        <v>0</v>
      </c>
      <c r="G31" s="185" t="s">
        <v>65</v>
      </c>
      <c r="H31" s="32"/>
      <c r="I31" s="32"/>
    </row>
    <row r="32" spans="2:17" x14ac:dyDescent="0.3">
      <c r="B32" s="32"/>
      <c r="C32" s="350" t="s">
        <v>277</v>
      </c>
      <c r="D32" s="351"/>
      <c r="E32" s="128"/>
      <c r="F32" s="163" t="e">
        <f>E31/E33</f>
        <v>#DIV/0!</v>
      </c>
      <c r="G32" s="169" t="s">
        <v>7</v>
      </c>
      <c r="H32" s="32"/>
      <c r="I32" s="32"/>
    </row>
    <row r="33" spans="2:9" x14ac:dyDescent="0.3">
      <c r="B33" s="32"/>
      <c r="C33" s="350" t="s">
        <v>278</v>
      </c>
      <c r="D33" s="351"/>
      <c r="E33" s="128"/>
      <c r="F33" s="163" t="e">
        <f>E31/E32</f>
        <v>#DIV/0!</v>
      </c>
      <c r="G33" s="169" t="s">
        <v>82</v>
      </c>
      <c r="H33" s="32"/>
      <c r="I33" s="32"/>
    </row>
    <row r="34" spans="2:9" x14ac:dyDescent="0.3">
      <c r="B34" s="32"/>
      <c r="C34" s="32"/>
      <c r="D34" s="32"/>
      <c r="E34" s="236"/>
      <c r="F34" s="32"/>
      <c r="G34" s="32"/>
      <c r="H34" s="32"/>
      <c r="I34" s="32"/>
    </row>
    <row r="35" spans="2:9" x14ac:dyDescent="0.3">
      <c r="B35" s="32"/>
      <c r="C35" s="32"/>
      <c r="D35" s="32"/>
      <c r="E35" s="236"/>
      <c r="F35" s="32"/>
      <c r="G35" s="32"/>
      <c r="H35" s="32"/>
      <c r="I35" s="32"/>
    </row>
    <row r="38" spans="2:9" ht="15" thickBot="1" x14ac:dyDescent="0.35"/>
    <row r="39" spans="2:9" ht="21.6" thickBot="1" x14ac:dyDescent="0.45">
      <c r="C39" s="445" t="s">
        <v>228</v>
      </c>
      <c r="D39" s="446"/>
      <c r="E39" s="446"/>
      <c r="F39" s="446"/>
      <c r="G39" s="446"/>
      <c r="H39" s="446"/>
      <c r="I39" s="447"/>
    </row>
    <row r="40" spans="2:9" x14ac:dyDescent="0.3">
      <c r="C40" s="344" t="s">
        <v>229</v>
      </c>
      <c r="D40" s="345"/>
      <c r="E40" s="161"/>
      <c r="F40" s="166">
        <f>(4*E45)/PI()*E41^2*E44</f>
        <v>0</v>
      </c>
      <c r="G40" s="185" t="s">
        <v>235</v>
      </c>
    </row>
    <row r="41" spans="2:9" x14ac:dyDescent="0.3">
      <c r="C41" s="350" t="s">
        <v>230</v>
      </c>
      <c r="D41" s="351"/>
      <c r="E41" s="128"/>
      <c r="F41" s="163">
        <f>SQRT((4*E45)/PI()*E40*E44)</f>
        <v>0</v>
      </c>
      <c r="G41" s="169" t="s">
        <v>235</v>
      </c>
    </row>
    <row r="42" spans="2:9" x14ac:dyDescent="0.3">
      <c r="C42" s="178" t="s">
        <v>234</v>
      </c>
      <c r="D42" s="179"/>
      <c r="E42" s="128"/>
      <c r="F42" s="163">
        <f>E41^2*PI()/4</f>
        <v>0</v>
      </c>
      <c r="G42" s="169" t="s">
        <v>236</v>
      </c>
    </row>
    <row r="43" spans="2:9" x14ac:dyDescent="0.3">
      <c r="C43" s="350" t="s">
        <v>233</v>
      </c>
      <c r="D43" s="351"/>
      <c r="E43" s="128"/>
      <c r="F43" s="156">
        <f>PI()*E41^2/4*E40</f>
        <v>0</v>
      </c>
      <c r="G43" s="163">
        <f>E42*E40</f>
        <v>0</v>
      </c>
      <c r="H43" s="169" t="s">
        <v>31</v>
      </c>
    </row>
    <row r="44" spans="2:9" x14ac:dyDescent="0.3">
      <c r="C44" s="350" t="s">
        <v>231</v>
      </c>
      <c r="D44" s="351"/>
      <c r="E44" s="128"/>
      <c r="F44" s="181"/>
      <c r="G44" s="182"/>
    </row>
    <row r="45" spans="2:9" x14ac:dyDescent="0.3">
      <c r="C45" s="350" t="s">
        <v>232</v>
      </c>
      <c r="D45" s="351"/>
      <c r="E45" s="151"/>
      <c r="F45" s="156">
        <f>E43*E44</f>
        <v>0</v>
      </c>
      <c r="G45" s="156">
        <f>E42*E40*E44</f>
        <v>0</v>
      </c>
      <c r="H45" s="163">
        <f>(PI()*E41^2)/4*E40*E44</f>
        <v>0</v>
      </c>
      <c r="I45" s="169" t="s">
        <v>31</v>
      </c>
    </row>
    <row r="50" spans="3:9" ht="15" thickBot="1" x14ac:dyDescent="0.35"/>
    <row r="51" spans="3:9" ht="21.6" thickBot="1" x14ac:dyDescent="0.45">
      <c r="C51" s="453" t="s">
        <v>237</v>
      </c>
      <c r="D51" s="454"/>
      <c r="E51" s="454"/>
      <c r="F51" s="454"/>
      <c r="G51" s="455"/>
      <c r="H51" s="184"/>
      <c r="I51" s="184"/>
    </row>
    <row r="52" spans="3:9" x14ac:dyDescent="0.3">
      <c r="C52" s="344" t="s">
        <v>229</v>
      </c>
      <c r="D52" s="345"/>
      <c r="E52" s="161"/>
      <c r="F52" s="166">
        <f>E54*E53</f>
        <v>0</v>
      </c>
      <c r="G52" s="185" t="s">
        <v>239</v>
      </c>
    </row>
    <row r="53" spans="3:9" x14ac:dyDescent="0.3">
      <c r="C53" s="350" t="s">
        <v>230</v>
      </c>
      <c r="D53" s="351"/>
      <c r="E53" s="128"/>
      <c r="F53" s="163" t="e">
        <f>E52/E54</f>
        <v>#DIV/0!</v>
      </c>
      <c r="G53" s="169" t="s">
        <v>239</v>
      </c>
    </row>
    <row r="54" spans="3:9" x14ac:dyDescent="0.3">
      <c r="C54" s="350" t="s">
        <v>238</v>
      </c>
      <c r="D54" s="351"/>
      <c r="E54" s="128"/>
      <c r="F54" s="156" t="e">
        <f>E52/E53</f>
        <v>#DIV/0!</v>
      </c>
      <c r="G54" s="183"/>
    </row>
    <row r="62" spans="3:9" ht="15" thickBot="1" x14ac:dyDescent="0.35"/>
    <row r="63" spans="3:9" ht="21.6" thickBot="1" x14ac:dyDescent="0.45">
      <c r="C63" s="453" t="s">
        <v>240</v>
      </c>
      <c r="D63" s="454"/>
      <c r="E63" s="454"/>
      <c r="F63" s="454"/>
      <c r="G63" s="455"/>
    </row>
    <row r="64" spans="3:9" x14ac:dyDescent="0.3">
      <c r="C64" s="344" t="s">
        <v>229</v>
      </c>
      <c r="D64" s="345"/>
      <c r="E64" s="161"/>
      <c r="F64" s="166"/>
      <c r="G64" s="185" t="s">
        <v>235</v>
      </c>
    </row>
    <row r="65" spans="3:8" x14ac:dyDescent="0.3">
      <c r="C65" s="350" t="s">
        <v>230</v>
      </c>
      <c r="D65" s="351"/>
      <c r="E65" s="128"/>
      <c r="F65" s="163"/>
      <c r="G65" s="169" t="s">
        <v>235</v>
      </c>
    </row>
    <row r="66" spans="3:8" x14ac:dyDescent="0.3">
      <c r="C66" s="350" t="s">
        <v>244</v>
      </c>
      <c r="D66" s="351"/>
      <c r="E66" s="128"/>
      <c r="F66" s="162" t="e">
        <f>E69+E70/E70</f>
        <v>#DIV/0!</v>
      </c>
      <c r="G66" s="183"/>
    </row>
    <row r="67" spans="3:8" x14ac:dyDescent="0.3">
      <c r="C67" s="456" t="s">
        <v>247</v>
      </c>
      <c r="D67" s="343"/>
      <c r="E67" s="128"/>
      <c r="F67" s="162"/>
      <c r="G67" s="183"/>
    </row>
    <row r="68" spans="3:8" x14ac:dyDescent="0.3">
      <c r="C68" s="456" t="s">
        <v>246</v>
      </c>
      <c r="D68" s="343"/>
      <c r="E68" s="128"/>
      <c r="F68" s="162" t="e">
        <f>E69+E71/E71</f>
        <v>#DIV/0!</v>
      </c>
      <c r="G68" s="183"/>
    </row>
    <row r="69" spans="3:8" x14ac:dyDescent="0.3">
      <c r="C69" s="343" t="s">
        <v>242</v>
      </c>
      <c r="D69" s="343"/>
      <c r="E69" s="113"/>
      <c r="F69" s="156">
        <f>E70*(E66-1)</f>
        <v>0</v>
      </c>
      <c r="G69" s="156" t="s">
        <v>241</v>
      </c>
    </row>
    <row r="70" spans="3:8" x14ac:dyDescent="0.3">
      <c r="C70" s="456" t="s">
        <v>243</v>
      </c>
      <c r="D70" s="343"/>
      <c r="E70" s="113"/>
      <c r="F70" s="156" t="e">
        <f>E69/E66-1</f>
        <v>#DIV/0!</v>
      </c>
      <c r="G70" s="156" t="s">
        <v>241</v>
      </c>
    </row>
    <row r="71" spans="3:8" x14ac:dyDescent="0.3">
      <c r="C71" s="456" t="s">
        <v>248</v>
      </c>
      <c r="D71" s="456"/>
      <c r="E71" s="151"/>
      <c r="F71" s="156" t="e">
        <f>E69/E68-1</f>
        <v>#DIV/0!</v>
      </c>
      <c r="G71" s="156" t="s">
        <v>241</v>
      </c>
    </row>
    <row r="72" spans="3:8" x14ac:dyDescent="0.3">
      <c r="C72" s="150" t="s">
        <v>245</v>
      </c>
      <c r="D72" s="150"/>
      <c r="E72" s="151"/>
      <c r="F72" s="156" t="e">
        <f>(E64/E68-1)-(E64/E67-1)</f>
        <v>#DIV/0!</v>
      </c>
      <c r="G72" s="156" t="s">
        <v>235</v>
      </c>
    </row>
    <row r="77" spans="3:8" ht="15" thickBot="1" x14ac:dyDescent="0.35"/>
    <row r="78" spans="3:8" ht="21.6" thickBot="1" x14ac:dyDescent="0.45">
      <c r="C78" s="453" t="s">
        <v>249</v>
      </c>
      <c r="D78" s="454"/>
      <c r="E78" s="454"/>
      <c r="F78" s="454"/>
      <c r="G78" s="454"/>
      <c r="H78" s="455"/>
    </row>
    <row r="79" spans="3:8" x14ac:dyDescent="0.3">
      <c r="C79" s="344" t="s">
        <v>250</v>
      </c>
      <c r="D79" s="345"/>
      <c r="E79" s="161"/>
      <c r="F79" s="166">
        <f>2*E81*E82/60</f>
        <v>0</v>
      </c>
      <c r="G79" s="166">
        <f>E81*E82/30</f>
        <v>0</v>
      </c>
      <c r="H79" s="185" t="s">
        <v>19</v>
      </c>
    </row>
    <row r="80" spans="3:8" x14ac:dyDescent="0.3">
      <c r="C80" s="350" t="s">
        <v>251</v>
      </c>
      <c r="D80" s="351"/>
      <c r="E80" s="128"/>
      <c r="F80" s="163">
        <f>E79*1.6</f>
        <v>0</v>
      </c>
      <c r="G80" s="169" t="s">
        <v>19</v>
      </c>
    </row>
    <row r="81" spans="3:9" x14ac:dyDescent="0.3">
      <c r="C81" s="350" t="s">
        <v>252</v>
      </c>
      <c r="D81" s="351"/>
      <c r="E81" s="128"/>
      <c r="F81" s="163" t="e">
        <f>30*E79/E82</f>
        <v>#DIV/0!</v>
      </c>
      <c r="G81" s="169" t="s">
        <v>254</v>
      </c>
    </row>
    <row r="82" spans="3:9" x14ac:dyDescent="0.3">
      <c r="C82" s="343" t="s">
        <v>253</v>
      </c>
      <c r="D82" s="343"/>
      <c r="E82" s="151"/>
      <c r="F82" s="163" t="e">
        <f>30*E79/E81</f>
        <v>#DIV/0!</v>
      </c>
      <c r="G82" s="169" t="s">
        <v>82</v>
      </c>
    </row>
    <row r="92" spans="3:9" ht="15" thickBot="1" x14ac:dyDescent="0.35"/>
    <row r="93" spans="3:9" ht="21.6" thickBot="1" x14ac:dyDescent="0.45">
      <c r="C93" s="453" t="s">
        <v>256</v>
      </c>
      <c r="D93" s="454"/>
      <c r="E93" s="454"/>
      <c r="F93" s="454"/>
      <c r="G93" s="454"/>
      <c r="H93" s="454"/>
      <c r="I93" s="455"/>
    </row>
    <row r="94" spans="3:9" ht="15.6" x14ac:dyDescent="0.3">
      <c r="C94" s="457" t="s">
        <v>257</v>
      </c>
      <c r="D94" s="458"/>
      <c r="E94" s="161"/>
      <c r="F94" s="166">
        <f>PI()*E96*E95/360</f>
        <v>0</v>
      </c>
      <c r="G94" s="185" t="s">
        <v>239</v>
      </c>
    </row>
    <row r="95" spans="3:9" ht="15" x14ac:dyDescent="0.3">
      <c r="C95" s="350" t="s">
        <v>258</v>
      </c>
      <c r="D95" s="351"/>
      <c r="E95" s="128"/>
      <c r="F95" s="163">
        <f>360*E94/PI()*E96</f>
        <v>0</v>
      </c>
      <c r="G95" s="163">
        <f>E100*6*E102</f>
        <v>0</v>
      </c>
      <c r="H95" s="163">
        <f>E101*12</f>
        <v>0</v>
      </c>
      <c r="I95" s="169" t="s">
        <v>260</v>
      </c>
    </row>
    <row r="96" spans="3:9" x14ac:dyDescent="0.3">
      <c r="C96" s="350" t="s">
        <v>259</v>
      </c>
      <c r="D96" s="351"/>
      <c r="E96" s="128"/>
      <c r="F96" s="163">
        <f>360*E94/PI()*E95</f>
        <v>0</v>
      </c>
      <c r="G96" s="169" t="s">
        <v>239</v>
      </c>
    </row>
    <row r="97" spans="3:7" ht="15" x14ac:dyDescent="0.35">
      <c r="C97" s="456" t="s">
        <v>261</v>
      </c>
      <c r="D97" s="343"/>
      <c r="E97" s="128"/>
      <c r="F97" s="162">
        <f>E103+E106</f>
        <v>0</v>
      </c>
      <c r="G97" s="183"/>
    </row>
    <row r="98" spans="3:7" x14ac:dyDescent="0.3">
      <c r="C98" s="350" t="s">
        <v>262</v>
      </c>
      <c r="D98" s="351"/>
      <c r="E98" s="128"/>
      <c r="F98" s="165">
        <f>E103+180+E104</f>
        <v>180</v>
      </c>
      <c r="G98" s="169" t="s">
        <v>260</v>
      </c>
    </row>
    <row r="99" spans="3:7" x14ac:dyDescent="0.3">
      <c r="C99" s="343" t="s">
        <v>263</v>
      </c>
      <c r="D99" s="343"/>
      <c r="E99" s="113"/>
      <c r="F99" s="163">
        <f>E105+180+E106</f>
        <v>180</v>
      </c>
      <c r="G99" s="169" t="s">
        <v>260</v>
      </c>
    </row>
    <row r="100" spans="3:7" x14ac:dyDescent="0.3">
      <c r="C100" s="456" t="s">
        <v>264</v>
      </c>
      <c r="D100" s="343"/>
      <c r="E100" s="113"/>
      <c r="F100" s="163">
        <f>E95/6*E102</f>
        <v>0</v>
      </c>
      <c r="G100" s="169" t="s">
        <v>265</v>
      </c>
    </row>
    <row r="101" spans="3:7" x14ac:dyDescent="0.3">
      <c r="C101" s="456" t="s">
        <v>266</v>
      </c>
      <c r="D101" s="456"/>
      <c r="E101" s="151"/>
      <c r="F101" s="163">
        <f>E95/12</f>
        <v>0</v>
      </c>
      <c r="G101" s="169" t="s">
        <v>265</v>
      </c>
    </row>
    <row r="102" spans="3:7" x14ac:dyDescent="0.3">
      <c r="C102" s="350" t="s">
        <v>253</v>
      </c>
      <c r="D102" s="351"/>
      <c r="E102" s="151"/>
      <c r="F102" s="163" t="e">
        <f>E95/E100*6</f>
        <v>#DIV/0!</v>
      </c>
      <c r="G102" s="169" t="s">
        <v>254</v>
      </c>
    </row>
    <row r="103" spans="3:7" x14ac:dyDescent="0.3">
      <c r="C103" s="343" t="s">
        <v>268</v>
      </c>
      <c r="D103" s="343"/>
      <c r="E103" s="128"/>
      <c r="F103" s="169" t="s">
        <v>260</v>
      </c>
    </row>
    <row r="104" spans="3:7" x14ac:dyDescent="0.3">
      <c r="C104" s="343" t="s">
        <v>267</v>
      </c>
      <c r="D104" s="343"/>
      <c r="E104" s="128"/>
      <c r="F104" s="169" t="s">
        <v>260</v>
      </c>
    </row>
    <row r="105" spans="3:7" x14ac:dyDescent="0.3">
      <c r="C105" s="343" t="s">
        <v>269</v>
      </c>
      <c r="D105" s="343"/>
      <c r="E105" s="128"/>
      <c r="F105" s="169" t="s">
        <v>260</v>
      </c>
    </row>
    <row r="106" spans="3:7" x14ac:dyDescent="0.3">
      <c r="C106" s="343" t="s">
        <v>270</v>
      </c>
      <c r="D106" s="343"/>
      <c r="E106" s="128"/>
      <c r="F106" s="169" t="s">
        <v>260</v>
      </c>
    </row>
    <row r="116" spans="3:8" ht="15" thickBot="1" x14ac:dyDescent="0.35"/>
    <row r="117" spans="3:8" ht="21.6" thickBot="1" x14ac:dyDescent="0.45">
      <c r="C117" s="453" t="s">
        <v>271</v>
      </c>
      <c r="D117" s="454"/>
      <c r="E117" s="454"/>
      <c r="F117" s="454"/>
      <c r="G117" s="454"/>
      <c r="H117" s="455"/>
    </row>
    <row r="118" spans="3:8" x14ac:dyDescent="0.3">
      <c r="C118" s="344" t="s">
        <v>272</v>
      </c>
      <c r="D118" s="345"/>
      <c r="E118" s="161"/>
      <c r="F118" s="166" t="e">
        <f>E120/E121</f>
        <v>#DIV/0!</v>
      </c>
      <c r="G118" s="185" t="s">
        <v>3</v>
      </c>
    </row>
    <row r="119" spans="3:8" x14ac:dyDescent="0.3">
      <c r="C119" s="350" t="s">
        <v>230</v>
      </c>
      <c r="D119" s="351"/>
      <c r="E119" s="128"/>
      <c r="F119" s="163">
        <f>SQRT((4*E120)/PI()*E118)</f>
        <v>0</v>
      </c>
      <c r="G119" s="169" t="s">
        <v>235</v>
      </c>
    </row>
    <row r="120" spans="3:8" x14ac:dyDescent="0.3">
      <c r="C120" s="350" t="s">
        <v>273</v>
      </c>
      <c r="D120" s="351"/>
      <c r="E120" s="128"/>
      <c r="F120" s="163">
        <f>E118*E121</f>
        <v>0</v>
      </c>
      <c r="G120" s="169" t="s">
        <v>274</v>
      </c>
    </row>
    <row r="121" spans="3:8" x14ac:dyDescent="0.3">
      <c r="C121" s="350" t="s">
        <v>275</v>
      </c>
      <c r="D121" s="351"/>
      <c r="E121" s="128"/>
      <c r="F121" s="156" t="e">
        <f>E120/E118</f>
        <v>#DIV/0!</v>
      </c>
      <c r="G121" s="163">
        <f>E119^2*PI()/4</f>
        <v>0</v>
      </c>
      <c r="H121" s="169" t="s">
        <v>236</v>
      </c>
    </row>
    <row r="130" spans="3:10" ht="15" thickBot="1" x14ac:dyDescent="0.35"/>
    <row r="131" spans="3:10" ht="21.6" thickBot="1" x14ac:dyDescent="0.45">
      <c r="C131" s="445" t="s">
        <v>279</v>
      </c>
      <c r="D131" s="446"/>
      <c r="E131" s="446"/>
      <c r="F131" s="446"/>
      <c r="G131" s="446"/>
      <c r="H131" s="446"/>
      <c r="I131" s="447"/>
    </row>
    <row r="132" spans="3:10" x14ac:dyDescent="0.3">
      <c r="C132" s="457" t="s">
        <v>280</v>
      </c>
      <c r="D132" s="458"/>
      <c r="E132" s="161"/>
      <c r="F132" s="166" t="e">
        <f>E137/E135</f>
        <v>#DIV/0!</v>
      </c>
      <c r="G132" s="258">
        <f>E133+E134</f>
        <v>0</v>
      </c>
      <c r="H132" s="1"/>
    </row>
    <row r="133" spans="3:10" x14ac:dyDescent="0.3">
      <c r="C133" s="350" t="s">
        <v>281</v>
      </c>
      <c r="D133" s="351"/>
      <c r="E133" s="128"/>
      <c r="F133" s="163" t="e">
        <f>E137/E136</f>
        <v>#DIV/0!</v>
      </c>
      <c r="G133" s="199"/>
      <c r="H133" s="183"/>
      <c r="I133" s="183"/>
    </row>
    <row r="134" spans="3:10" x14ac:dyDescent="0.3">
      <c r="C134" s="350" t="s">
        <v>282</v>
      </c>
      <c r="D134" s="351"/>
      <c r="E134" s="128"/>
      <c r="F134" s="156" t="e">
        <f>E136/E135</f>
        <v>#DIV/0!</v>
      </c>
      <c r="G134" s="257"/>
      <c r="H134" s="8"/>
      <c r="I134" s="8"/>
    </row>
    <row r="135" spans="3:10" x14ac:dyDescent="0.3">
      <c r="C135" s="456" t="s">
        <v>283</v>
      </c>
      <c r="D135" s="343"/>
      <c r="E135" s="128"/>
      <c r="F135" s="162" t="e">
        <f>E137/E132</f>
        <v>#DIV/0!</v>
      </c>
      <c r="G135" s="169" t="e">
        <f>E136/E134</f>
        <v>#DIV/0!</v>
      </c>
      <c r="H135" s="188" t="e">
        <f>E144*E145/E146</f>
        <v>#DIV/0!</v>
      </c>
      <c r="I135" s="169" t="s">
        <v>10</v>
      </c>
      <c r="J135" s="1"/>
    </row>
    <row r="136" spans="3:10" x14ac:dyDescent="0.3">
      <c r="C136" s="350" t="s">
        <v>285</v>
      </c>
      <c r="D136" s="351"/>
      <c r="E136" s="128"/>
      <c r="F136" s="165">
        <f>E134*E135</f>
        <v>0</v>
      </c>
      <c r="G136" s="169" t="e">
        <f>E137/E133</f>
        <v>#DIV/0!</v>
      </c>
      <c r="H136" s="163">
        <f>E140*E141*E142*(E139/600)*E143*(1/2)</f>
        <v>0</v>
      </c>
      <c r="I136" s="169" t="s">
        <v>10</v>
      </c>
    </row>
    <row r="137" spans="3:10" x14ac:dyDescent="0.3">
      <c r="C137" s="343" t="s">
        <v>284</v>
      </c>
      <c r="D137" s="343"/>
      <c r="E137" s="113"/>
      <c r="F137" s="163">
        <f>E132*E135</f>
        <v>0</v>
      </c>
      <c r="G137" s="169">
        <f>E133*E136</f>
        <v>0</v>
      </c>
      <c r="H137" s="188">
        <f>E138*E139/9.55</f>
        <v>0</v>
      </c>
      <c r="I137" s="169" t="s">
        <v>10</v>
      </c>
    </row>
    <row r="138" spans="3:10" x14ac:dyDescent="0.3">
      <c r="C138" s="456" t="s">
        <v>286</v>
      </c>
      <c r="D138" s="343"/>
      <c r="E138" s="314"/>
      <c r="F138" s="313" t="s">
        <v>65</v>
      </c>
    </row>
    <row r="139" spans="3:10" x14ac:dyDescent="0.3">
      <c r="C139" s="456" t="s">
        <v>287</v>
      </c>
      <c r="D139" s="456"/>
      <c r="E139" s="128"/>
      <c r="F139" s="313" t="s">
        <v>254</v>
      </c>
    </row>
    <row r="140" spans="3:10" x14ac:dyDescent="0.3">
      <c r="C140" s="350" t="s">
        <v>288</v>
      </c>
      <c r="D140" s="351"/>
      <c r="E140" s="128"/>
      <c r="F140" s="313" t="s">
        <v>15</v>
      </c>
    </row>
    <row r="141" spans="3:10" x14ac:dyDescent="0.3">
      <c r="C141" s="343" t="s">
        <v>289</v>
      </c>
      <c r="D141" s="343"/>
      <c r="E141" s="128"/>
      <c r="F141" s="313" t="s">
        <v>3</v>
      </c>
    </row>
    <row r="142" spans="3:10" x14ac:dyDescent="0.3">
      <c r="C142" s="343" t="s">
        <v>252</v>
      </c>
      <c r="D142" s="343"/>
      <c r="E142" s="128"/>
      <c r="F142" s="313" t="s">
        <v>235</v>
      </c>
    </row>
    <row r="143" spans="3:10" x14ac:dyDescent="0.3">
      <c r="C143" s="343" t="s">
        <v>231</v>
      </c>
      <c r="D143" s="343"/>
      <c r="E143" s="128"/>
      <c r="F143" s="313"/>
    </row>
    <row r="144" spans="3:10" x14ac:dyDescent="0.3">
      <c r="C144" s="343" t="s">
        <v>294</v>
      </c>
      <c r="D144" s="343"/>
      <c r="E144" s="128"/>
      <c r="F144" s="313" t="s">
        <v>126</v>
      </c>
    </row>
    <row r="145" spans="3:7" x14ac:dyDescent="0.3">
      <c r="C145" s="343" t="s">
        <v>292</v>
      </c>
      <c r="D145" s="343"/>
      <c r="E145" s="128"/>
      <c r="F145" s="313" t="s">
        <v>290</v>
      </c>
    </row>
    <row r="146" spans="3:7" x14ac:dyDescent="0.3">
      <c r="C146" s="343" t="s">
        <v>293</v>
      </c>
      <c r="D146" s="343"/>
      <c r="E146" s="128"/>
      <c r="F146" s="313" t="s">
        <v>291</v>
      </c>
    </row>
    <row r="155" spans="3:7" ht="15" thickBot="1" x14ac:dyDescent="0.35"/>
    <row r="156" spans="3:7" ht="21.6" thickBot="1" x14ac:dyDescent="0.45">
      <c r="C156" s="453" t="s">
        <v>300</v>
      </c>
      <c r="D156" s="454"/>
      <c r="E156" s="454"/>
      <c r="F156" s="454"/>
      <c r="G156" s="455"/>
    </row>
    <row r="157" spans="3:7" x14ac:dyDescent="0.3">
      <c r="C157" s="344" t="s">
        <v>301</v>
      </c>
      <c r="D157" s="345"/>
      <c r="E157" s="161"/>
      <c r="F157" s="166" t="e">
        <f>E158/E159</f>
        <v>#DIV/0!</v>
      </c>
      <c r="G157" s="185" t="s">
        <v>302</v>
      </c>
    </row>
    <row r="158" spans="3:7" x14ac:dyDescent="0.3">
      <c r="C158" s="350" t="s">
        <v>297</v>
      </c>
      <c r="D158" s="351"/>
      <c r="E158" s="128"/>
      <c r="F158" s="163">
        <f>E157*E159</f>
        <v>0</v>
      </c>
      <c r="G158" s="169" t="s">
        <v>70</v>
      </c>
    </row>
    <row r="159" spans="3:7" x14ac:dyDescent="0.3">
      <c r="C159" s="350" t="s">
        <v>303</v>
      </c>
      <c r="D159" s="351"/>
      <c r="E159" s="128"/>
      <c r="F159" s="163" t="e">
        <f>E158/E157</f>
        <v>#DIV/0!</v>
      </c>
      <c r="G159" s="169" t="s">
        <v>304</v>
      </c>
    </row>
    <row r="166" spans="3:7" ht="15" thickBot="1" x14ac:dyDescent="0.35"/>
    <row r="167" spans="3:7" ht="21.6" thickBot="1" x14ac:dyDescent="0.45">
      <c r="C167" s="453" t="s">
        <v>295</v>
      </c>
      <c r="D167" s="454"/>
      <c r="E167" s="454"/>
      <c r="F167" s="454"/>
      <c r="G167" s="455"/>
    </row>
    <row r="168" spans="3:7" x14ac:dyDescent="0.3">
      <c r="C168" s="344" t="s">
        <v>296</v>
      </c>
      <c r="D168" s="345"/>
      <c r="E168" s="161"/>
      <c r="F168" s="166">
        <f>E170*E169</f>
        <v>0</v>
      </c>
      <c r="G168" s="185" t="s">
        <v>126</v>
      </c>
    </row>
    <row r="169" spans="3:7" x14ac:dyDescent="0.3">
      <c r="C169" s="350" t="s">
        <v>297</v>
      </c>
      <c r="D169" s="351"/>
      <c r="E169" s="128"/>
      <c r="F169" s="163" t="e">
        <f>E168/E170</f>
        <v>#DIV/0!</v>
      </c>
      <c r="G169" s="169" t="s">
        <v>70</v>
      </c>
    </row>
    <row r="170" spans="3:7" x14ac:dyDescent="0.3">
      <c r="C170" s="350" t="s">
        <v>298</v>
      </c>
      <c r="D170" s="351"/>
      <c r="E170" s="128"/>
      <c r="F170" s="163" t="e">
        <f>E168/E169</f>
        <v>#DIV/0!</v>
      </c>
      <c r="G170" s="169" t="s">
        <v>299</v>
      </c>
    </row>
    <row r="176" spans="3:7" ht="15" thickBot="1" x14ac:dyDescent="0.35"/>
    <row r="177" spans="3:9" ht="21.6" thickBot="1" x14ac:dyDescent="0.45">
      <c r="C177" s="442" t="s">
        <v>450</v>
      </c>
      <c r="D177" s="443"/>
      <c r="E177" s="443"/>
      <c r="F177" s="444"/>
    </row>
    <row r="178" spans="3:9" x14ac:dyDescent="0.3">
      <c r="C178" s="438" t="s">
        <v>451</v>
      </c>
      <c r="D178" s="439"/>
      <c r="E178" s="312" t="e">
        <f>(E179*1000000)/(E181*E180*30)</f>
        <v>#DIV/0!</v>
      </c>
      <c r="F178" s="315" t="s">
        <v>452</v>
      </c>
    </row>
    <row r="179" spans="3:9" x14ac:dyDescent="0.3">
      <c r="C179" s="440" t="s">
        <v>454</v>
      </c>
      <c r="D179" s="441"/>
      <c r="E179" s="127"/>
      <c r="F179" s="316" t="s">
        <v>453</v>
      </c>
    </row>
    <row r="180" spans="3:9" x14ac:dyDescent="0.3">
      <c r="C180" s="440" t="s">
        <v>324</v>
      </c>
      <c r="D180" s="441"/>
      <c r="E180" s="127"/>
      <c r="F180" s="316" t="s">
        <v>67</v>
      </c>
    </row>
    <row r="181" spans="3:9" x14ac:dyDescent="0.3">
      <c r="C181" s="440" t="s">
        <v>455</v>
      </c>
      <c r="D181" s="441"/>
      <c r="E181" s="127"/>
      <c r="F181" s="316"/>
      <c r="H181" s="1"/>
      <c r="I181" s="1"/>
    </row>
    <row r="182" spans="3:9" x14ac:dyDescent="0.3">
      <c r="H182" s="1"/>
      <c r="I182" s="1"/>
    </row>
    <row r="183" spans="3:9" x14ac:dyDescent="0.3">
      <c r="H183" s="1"/>
      <c r="I183" s="1"/>
    </row>
    <row r="184" spans="3:9" x14ac:dyDescent="0.3">
      <c r="G184" s="1"/>
      <c r="H184" s="1"/>
      <c r="I184" s="1"/>
    </row>
    <row r="185" spans="3:9" ht="15" thickBot="1" x14ac:dyDescent="0.35">
      <c r="G185" s="1"/>
      <c r="H185" s="1"/>
      <c r="I185" s="1"/>
    </row>
    <row r="186" spans="3:9" ht="21.6" thickBot="1" x14ac:dyDescent="0.45">
      <c r="C186" s="442" t="s">
        <v>456</v>
      </c>
      <c r="D186" s="443"/>
      <c r="E186" s="443"/>
      <c r="F186" s="444"/>
      <c r="G186" s="184"/>
      <c r="H186" s="1"/>
      <c r="I186" s="1"/>
    </row>
    <row r="187" spans="3:9" x14ac:dyDescent="0.3">
      <c r="C187" s="438" t="s">
        <v>456</v>
      </c>
      <c r="D187" s="439"/>
      <c r="E187" s="312" t="e">
        <f>(E188*E190)/E189/1000</f>
        <v>#DIV/0!</v>
      </c>
      <c r="F187" s="308" t="s">
        <v>457</v>
      </c>
      <c r="G187" s="1"/>
      <c r="H187" s="1"/>
      <c r="I187" s="1"/>
    </row>
    <row r="188" spans="3:9" x14ac:dyDescent="0.3">
      <c r="C188" s="440" t="s">
        <v>458</v>
      </c>
      <c r="D188" s="441"/>
      <c r="E188" s="127"/>
      <c r="F188" s="203" t="s">
        <v>453</v>
      </c>
      <c r="H188" s="1"/>
      <c r="I188" s="1"/>
    </row>
    <row r="189" spans="3:9" x14ac:dyDescent="0.3">
      <c r="C189" s="440" t="s">
        <v>459</v>
      </c>
      <c r="D189" s="441"/>
      <c r="E189" s="127"/>
      <c r="F189" s="203" t="s">
        <v>70</v>
      </c>
      <c r="H189" s="1"/>
      <c r="I189" s="1"/>
    </row>
    <row r="190" spans="3:9" x14ac:dyDescent="0.3">
      <c r="C190" s="440" t="s">
        <v>464</v>
      </c>
      <c r="D190" s="441"/>
      <c r="E190" s="127">
        <v>830</v>
      </c>
      <c r="F190" s="203" t="s">
        <v>465</v>
      </c>
      <c r="H190" s="1"/>
      <c r="I190" s="1"/>
    </row>
    <row r="191" spans="3:9" x14ac:dyDescent="0.3">
      <c r="H191" s="1"/>
      <c r="I191" s="1"/>
    </row>
    <row r="192" spans="3:9" x14ac:dyDescent="0.3">
      <c r="H192" s="1"/>
      <c r="I192" s="1"/>
    </row>
    <row r="193" spans="8:9" x14ac:dyDescent="0.3">
      <c r="H193" s="1"/>
      <c r="I193" s="1"/>
    </row>
    <row r="194" spans="8:9" x14ac:dyDescent="0.3">
      <c r="H194" s="1"/>
      <c r="I194" s="1"/>
    </row>
    <row r="195" spans="8:9" x14ac:dyDescent="0.3">
      <c r="H195" s="1"/>
    </row>
    <row r="196" spans="8:9" x14ac:dyDescent="0.3">
      <c r="H196" s="1"/>
    </row>
    <row r="197" spans="8:9" x14ac:dyDescent="0.3">
      <c r="H197" s="1"/>
    </row>
    <row r="198" spans="8:9" x14ac:dyDescent="0.3">
      <c r="H198" s="1"/>
    </row>
    <row r="199" spans="8:9" x14ac:dyDescent="0.3">
      <c r="H199" s="1"/>
    </row>
  </sheetData>
  <mergeCells count="91">
    <mergeCell ref="C167:G167"/>
    <mergeCell ref="C168:D168"/>
    <mergeCell ref="C169:D169"/>
    <mergeCell ref="C170:D170"/>
    <mergeCell ref="C156:G156"/>
    <mergeCell ref="C157:D157"/>
    <mergeCell ref="C158:D158"/>
    <mergeCell ref="C159:D159"/>
    <mergeCell ref="C146:D146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31:I131"/>
    <mergeCell ref="C132:D132"/>
    <mergeCell ref="C133:D133"/>
    <mergeCell ref="C134:D134"/>
    <mergeCell ref="C135:D135"/>
    <mergeCell ref="C102:D102"/>
    <mergeCell ref="C94:D94"/>
    <mergeCell ref="C95:D95"/>
    <mergeCell ref="C96:D96"/>
    <mergeCell ref="C97:D97"/>
    <mergeCell ref="C93:I93"/>
    <mergeCell ref="C98:D98"/>
    <mergeCell ref="C99:D99"/>
    <mergeCell ref="C100:D100"/>
    <mergeCell ref="C101:D101"/>
    <mergeCell ref="C119:D119"/>
    <mergeCell ref="C120:D120"/>
    <mergeCell ref="C121:D121"/>
    <mergeCell ref="C103:D103"/>
    <mergeCell ref="C104:D104"/>
    <mergeCell ref="C105:D105"/>
    <mergeCell ref="C106:D106"/>
    <mergeCell ref="C118:D118"/>
    <mergeCell ref="C117:H117"/>
    <mergeCell ref="C80:D80"/>
    <mergeCell ref="C81:D81"/>
    <mergeCell ref="C82:D82"/>
    <mergeCell ref="C78:H78"/>
    <mergeCell ref="C70:D70"/>
    <mergeCell ref="C79:D79"/>
    <mergeCell ref="C68:D68"/>
    <mergeCell ref="C67:D67"/>
    <mergeCell ref="C71:D71"/>
    <mergeCell ref="C63:G63"/>
    <mergeCell ref="C64:D64"/>
    <mergeCell ref="C65:D65"/>
    <mergeCell ref="C66:D66"/>
    <mergeCell ref="C69:D69"/>
    <mergeCell ref="C54:D54"/>
    <mergeCell ref="C51:G51"/>
    <mergeCell ref="C43:D43"/>
    <mergeCell ref="C44:D44"/>
    <mergeCell ref="C45:D45"/>
    <mergeCell ref="C3:H3"/>
    <mergeCell ref="C9:F9"/>
    <mergeCell ref="C12:H12"/>
    <mergeCell ref="C18:F18"/>
    <mergeCell ref="C21:H21"/>
    <mergeCell ref="C188:D188"/>
    <mergeCell ref="C189:D189"/>
    <mergeCell ref="C190:D190"/>
    <mergeCell ref="C186:F186"/>
    <mergeCell ref="C178:D178"/>
    <mergeCell ref="C179:D179"/>
    <mergeCell ref="C180:D180"/>
    <mergeCell ref="C181:D181"/>
    <mergeCell ref="L12:Q12"/>
    <mergeCell ref="L17:O17"/>
    <mergeCell ref="M14:N14"/>
    <mergeCell ref="L15:N15"/>
    <mergeCell ref="C187:D187"/>
    <mergeCell ref="C177:F177"/>
    <mergeCell ref="C41:D41"/>
    <mergeCell ref="C40:D40"/>
    <mergeCell ref="C39:I39"/>
    <mergeCell ref="C27:F27"/>
    <mergeCell ref="C30:G30"/>
    <mergeCell ref="C31:D31"/>
    <mergeCell ref="C32:D32"/>
    <mergeCell ref="C33:D33"/>
    <mergeCell ref="C52:D52"/>
    <mergeCell ref="C53:D5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CAA3-917B-44F0-A892-72CDD3CD4013}">
  <dimension ref="A1"/>
  <sheetViews>
    <sheetView topLeftCell="A45" workbookViewId="0">
      <selection activeCell="K25" sqref="K25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031B-5FD7-4618-9FFD-6AE9826C95DF}">
  <sheetPr codeName="Feuil6"/>
  <dimension ref="B3:J237"/>
  <sheetViews>
    <sheetView topLeftCell="H1" zoomScale="86" zoomScaleNormal="85" workbookViewId="0">
      <selection activeCell="W12" sqref="W12"/>
    </sheetView>
  </sheetViews>
  <sheetFormatPr baseColWidth="10" defaultRowHeight="14.4" x14ac:dyDescent="0.3"/>
  <cols>
    <col min="3" max="3" width="20.6640625" customWidth="1"/>
  </cols>
  <sheetData>
    <row r="3" spans="2:6" ht="15" thickBot="1" x14ac:dyDescent="0.35"/>
    <row r="4" spans="2:6" ht="21" customHeight="1" thickBot="1" x14ac:dyDescent="0.45">
      <c r="C4" s="459" t="s">
        <v>180</v>
      </c>
      <c r="D4" s="460"/>
      <c r="E4" s="460"/>
      <c r="F4" s="461"/>
    </row>
    <row r="5" spans="2:6" x14ac:dyDescent="0.3">
      <c r="B5" s="1"/>
      <c r="C5" s="470"/>
      <c r="D5" s="470"/>
      <c r="E5" s="470"/>
      <c r="F5" s="470"/>
    </row>
    <row r="6" spans="2:6" x14ac:dyDescent="0.3">
      <c r="C6" s="150" t="s">
        <v>172</v>
      </c>
      <c r="D6" s="157"/>
      <c r="E6" s="156">
        <f>D7*D9/D8</f>
        <v>0</v>
      </c>
      <c r="F6" s="156" t="e">
        <f>D7/D10</f>
        <v>#DIV/0!</v>
      </c>
    </row>
    <row r="7" spans="2:6" x14ac:dyDescent="0.3">
      <c r="C7" s="150" t="s">
        <v>173</v>
      </c>
      <c r="D7" s="157"/>
      <c r="E7" s="156">
        <f>D6*D8/D9</f>
        <v>0</v>
      </c>
      <c r="F7" s="156">
        <f>D6*D10</f>
        <v>0</v>
      </c>
    </row>
    <row r="8" spans="2:6" x14ac:dyDescent="0.3">
      <c r="C8" s="150" t="s">
        <v>181</v>
      </c>
      <c r="D8" s="157">
        <v>688</v>
      </c>
      <c r="E8" s="156" t="e">
        <f>D7*D9/D6</f>
        <v>#DIV/0!</v>
      </c>
      <c r="F8" s="156">
        <f>D9*D10</f>
        <v>0</v>
      </c>
    </row>
    <row r="9" spans="2:6" x14ac:dyDescent="0.3">
      <c r="C9" s="150" t="s">
        <v>182</v>
      </c>
      <c r="D9" s="157">
        <f>107.828*4</f>
        <v>431.31200000000001</v>
      </c>
      <c r="E9" s="156">
        <f>D6*D8/D9</f>
        <v>0</v>
      </c>
      <c r="F9" s="156" t="e">
        <f>D9/D10</f>
        <v>#DIV/0!</v>
      </c>
    </row>
    <row r="10" spans="2:6" x14ac:dyDescent="0.3">
      <c r="C10" s="150" t="s">
        <v>183</v>
      </c>
      <c r="D10" s="157"/>
      <c r="E10" s="156">
        <f>D8/D9</f>
        <v>1.5951329895759914</v>
      </c>
      <c r="F10" s="156" t="e">
        <f>D7/D6</f>
        <v>#DIV/0!</v>
      </c>
    </row>
    <row r="24" spans="3:8" ht="15" thickBot="1" x14ac:dyDescent="0.35"/>
    <row r="25" spans="3:8" ht="21.6" thickBot="1" x14ac:dyDescent="0.45">
      <c r="C25" s="464" t="s">
        <v>184</v>
      </c>
      <c r="D25" s="465"/>
      <c r="E25" s="465"/>
      <c r="F25" s="465"/>
      <c r="G25" s="466"/>
    </row>
    <row r="26" spans="3:8" x14ac:dyDescent="0.3">
      <c r="C26" s="471"/>
      <c r="D26" s="472"/>
      <c r="E26" s="472"/>
      <c r="F26" s="472"/>
      <c r="G26" s="473"/>
      <c r="H26" s="1"/>
    </row>
    <row r="27" spans="3:8" x14ac:dyDescent="0.3">
      <c r="C27" s="150" t="s">
        <v>172</v>
      </c>
      <c r="D27" s="157"/>
      <c r="E27" s="156"/>
      <c r="F27" s="11"/>
    </row>
    <row r="28" spans="3:8" x14ac:dyDescent="0.3">
      <c r="C28" s="150" t="s">
        <v>173</v>
      </c>
      <c r="D28" s="157"/>
      <c r="E28" s="156"/>
    </row>
    <row r="29" spans="3:8" x14ac:dyDescent="0.3">
      <c r="C29" s="150" t="s">
        <v>185</v>
      </c>
      <c r="D29" s="157"/>
      <c r="E29" s="156"/>
    </row>
    <row r="30" spans="3:8" x14ac:dyDescent="0.3">
      <c r="C30" s="150" t="s">
        <v>186</v>
      </c>
      <c r="D30" s="157"/>
      <c r="E30" s="156"/>
    </row>
    <row r="31" spans="3:8" x14ac:dyDescent="0.3">
      <c r="C31" s="150" t="s">
        <v>181</v>
      </c>
      <c r="D31" s="157"/>
      <c r="E31" s="156">
        <f>D39*D34</f>
        <v>0</v>
      </c>
    </row>
    <row r="32" spans="3:8" x14ac:dyDescent="0.3">
      <c r="C32" s="150" t="s">
        <v>182</v>
      </c>
      <c r="D32" s="157"/>
      <c r="E32" s="156"/>
    </row>
    <row r="33" spans="3:7" x14ac:dyDescent="0.3">
      <c r="C33" s="150" t="s">
        <v>187</v>
      </c>
      <c r="D33" s="157"/>
      <c r="E33" s="156"/>
    </row>
    <row r="34" spans="3:7" x14ac:dyDescent="0.3">
      <c r="C34" s="150" t="s">
        <v>188</v>
      </c>
      <c r="D34" s="157"/>
      <c r="E34" s="156" t="e">
        <f>D31/D39</f>
        <v>#DIV/0!</v>
      </c>
    </row>
    <row r="35" spans="3:7" x14ac:dyDescent="0.3">
      <c r="C35" s="150" t="s">
        <v>189</v>
      </c>
      <c r="D35" s="157"/>
      <c r="E35" s="156" t="e">
        <f>D39/D36</f>
        <v>#DIV/0!</v>
      </c>
    </row>
    <row r="36" spans="3:7" x14ac:dyDescent="0.3">
      <c r="C36" s="150" t="s">
        <v>190</v>
      </c>
      <c r="D36" s="157"/>
      <c r="E36" s="156"/>
    </row>
    <row r="37" spans="3:7" x14ac:dyDescent="0.3">
      <c r="C37" s="150" t="s">
        <v>191</v>
      </c>
      <c r="D37" s="157"/>
      <c r="E37" s="156"/>
    </row>
    <row r="38" spans="3:7" x14ac:dyDescent="0.3">
      <c r="C38" s="150" t="s">
        <v>192</v>
      </c>
      <c r="D38" s="157"/>
      <c r="E38" s="156"/>
    </row>
    <row r="39" spans="3:7" x14ac:dyDescent="0.3">
      <c r="C39" s="150" t="s">
        <v>183</v>
      </c>
      <c r="D39" s="157"/>
      <c r="E39" s="156" t="e">
        <f>D31/D34</f>
        <v>#DIV/0!</v>
      </c>
      <c r="F39" s="156" t="e">
        <f>(D28*D30)/(D27*D29)</f>
        <v>#DIV/0!</v>
      </c>
      <c r="G39" s="156">
        <f>D35*D36*D37*D38</f>
        <v>0</v>
      </c>
    </row>
    <row r="51" spans="3:10" ht="15" thickBot="1" x14ac:dyDescent="0.35"/>
    <row r="52" spans="3:10" ht="21.6" thickBot="1" x14ac:dyDescent="0.45">
      <c r="C52" s="464" t="s">
        <v>193</v>
      </c>
      <c r="D52" s="465"/>
      <c r="E52" s="466"/>
    </row>
    <row r="53" spans="3:10" x14ac:dyDescent="0.3">
      <c r="C53" s="467"/>
      <c r="D53" s="468"/>
      <c r="E53" s="469"/>
      <c r="F53" s="1"/>
    </row>
    <row r="54" spans="3:10" x14ac:dyDescent="0.3">
      <c r="C54" s="150" t="s">
        <v>181</v>
      </c>
      <c r="D54" s="157"/>
      <c r="E54" s="156"/>
      <c r="I54" s="44"/>
    </row>
    <row r="55" spans="3:10" x14ac:dyDescent="0.3">
      <c r="C55" s="150" t="s">
        <v>182</v>
      </c>
      <c r="D55" s="157">
        <v>107.82850000000001</v>
      </c>
      <c r="E55" s="162"/>
      <c r="I55" s="44"/>
    </row>
    <row r="56" spans="3:10" x14ac:dyDescent="0.3">
      <c r="C56" s="150" t="s">
        <v>194</v>
      </c>
      <c r="D56" s="164"/>
      <c r="E56" s="163" t="e">
        <f>(D54-D55)/D54*100</f>
        <v>#DIV/0!</v>
      </c>
      <c r="F56" s="169" t="s">
        <v>122</v>
      </c>
      <c r="I56" s="44"/>
    </row>
    <row r="57" spans="3:10" x14ac:dyDescent="0.3">
      <c r="J57" s="44"/>
    </row>
    <row r="58" spans="3:10" x14ac:dyDescent="0.3">
      <c r="J58" s="44"/>
    </row>
    <row r="59" spans="3:10" x14ac:dyDescent="0.3">
      <c r="J59" s="44"/>
    </row>
    <row r="60" spans="3:10" x14ac:dyDescent="0.3">
      <c r="J60" s="44"/>
    </row>
    <row r="61" spans="3:10" x14ac:dyDescent="0.3">
      <c r="J61" s="44"/>
    </row>
    <row r="62" spans="3:10" x14ac:dyDescent="0.3">
      <c r="J62" s="44"/>
    </row>
    <row r="63" spans="3:10" x14ac:dyDescent="0.3">
      <c r="J63" s="44"/>
    </row>
    <row r="64" spans="3:10" x14ac:dyDescent="0.3">
      <c r="J64" s="44"/>
    </row>
    <row r="65" spans="3:10" ht="15" thickBot="1" x14ac:dyDescent="0.35">
      <c r="J65" s="44"/>
    </row>
    <row r="66" spans="3:10" ht="21.6" thickBot="1" x14ac:dyDescent="0.45">
      <c r="C66" s="459" t="s">
        <v>202</v>
      </c>
      <c r="D66" s="460"/>
      <c r="E66" s="460"/>
      <c r="F66" s="461"/>
      <c r="J66" s="44"/>
    </row>
    <row r="67" spans="3:10" x14ac:dyDescent="0.3">
      <c r="C67" s="470"/>
      <c r="D67" s="470"/>
      <c r="E67" s="470"/>
      <c r="F67" s="470"/>
      <c r="J67" s="44"/>
    </row>
    <row r="68" spans="3:10" x14ac:dyDescent="0.3">
      <c r="C68" s="150" t="s">
        <v>195</v>
      </c>
      <c r="D68" s="157"/>
      <c r="E68" s="156" t="e">
        <f>D69*D71/D70</f>
        <v>#DIV/0!</v>
      </c>
      <c r="F68" s="156" t="e">
        <f>D69/D72</f>
        <v>#DIV/0!</v>
      </c>
      <c r="J68" s="44"/>
    </row>
    <row r="69" spans="3:10" x14ac:dyDescent="0.3">
      <c r="C69" s="150" t="s">
        <v>196</v>
      </c>
      <c r="D69" s="157"/>
      <c r="E69" s="156" t="e">
        <f>D68*D70/D71</f>
        <v>#DIV/0!</v>
      </c>
      <c r="F69" s="156">
        <f>D68*D72</f>
        <v>0</v>
      </c>
      <c r="J69" s="44"/>
    </row>
    <row r="70" spans="3:10" x14ac:dyDescent="0.3">
      <c r="C70" s="150" t="s">
        <v>181</v>
      </c>
      <c r="D70" s="157"/>
      <c r="E70" s="156" t="e">
        <f>D69*D71/D68</f>
        <v>#DIV/0!</v>
      </c>
      <c r="F70" s="156">
        <f>D71*D72</f>
        <v>0</v>
      </c>
      <c r="J70" s="44"/>
    </row>
    <row r="71" spans="3:10" x14ac:dyDescent="0.3">
      <c r="C71" s="150" t="s">
        <v>182</v>
      </c>
      <c r="D71" s="157"/>
      <c r="E71" s="156" t="e">
        <f>D68*D70/D71</f>
        <v>#DIV/0!</v>
      </c>
      <c r="F71" s="156" t="e">
        <f>D71/D72</f>
        <v>#DIV/0!</v>
      </c>
      <c r="J71" s="44"/>
    </row>
    <row r="72" spans="3:10" x14ac:dyDescent="0.3">
      <c r="C72" s="150" t="s">
        <v>183</v>
      </c>
      <c r="D72" s="157"/>
      <c r="E72" s="156" t="e">
        <f>D70/D71</f>
        <v>#DIV/0!</v>
      </c>
      <c r="F72" s="156" t="e">
        <f>D69/D68</f>
        <v>#DIV/0!</v>
      </c>
      <c r="J72" s="44"/>
    </row>
    <row r="73" spans="3:10" x14ac:dyDescent="0.3">
      <c r="J73" s="44"/>
    </row>
    <row r="98" spans="3:8" ht="15" thickBot="1" x14ac:dyDescent="0.35"/>
    <row r="99" spans="3:8" ht="21.6" thickBot="1" x14ac:dyDescent="0.45">
      <c r="C99" s="464" t="s">
        <v>184</v>
      </c>
      <c r="D99" s="465"/>
      <c r="E99" s="465"/>
      <c r="F99" s="465"/>
      <c r="G99" s="466"/>
    </row>
    <row r="100" spans="3:8" x14ac:dyDescent="0.3">
      <c r="C100" s="471"/>
      <c r="D100" s="472"/>
      <c r="E100" s="472"/>
      <c r="F100" s="472"/>
      <c r="G100" s="473"/>
      <c r="H100" s="1"/>
    </row>
    <row r="101" spans="3:8" x14ac:dyDescent="0.3">
      <c r="C101" s="150" t="s">
        <v>195</v>
      </c>
      <c r="D101" s="157"/>
      <c r="E101" s="156"/>
    </row>
    <row r="102" spans="3:8" x14ac:dyDescent="0.3">
      <c r="C102" s="150" t="s">
        <v>196</v>
      </c>
      <c r="D102" s="157"/>
      <c r="E102" s="156"/>
    </row>
    <row r="103" spans="3:8" x14ac:dyDescent="0.3">
      <c r="C103" s="150" t="s">
        <v>197</v>
      </c>
      <c r="D103" s="157"/>
      <c r="E103" s="156"/>
    </row>
    <row r="104" spans="3:8" x14ac:dyDescent="0.3">
      <c r="C104" s="150" t="s">
        <v>198</v>
      </c>
      <c r="D104" s="157"/>
      <c r="E104" s="156"/>
    </row>
    <row r="105" spans="3:8" x14ac:dyDescent="0.3">
      <c r="C105" s="150" t="s">
        <v>181</v>
      </c>
      <c r="D105" s="157"/>
      <c r="E105" s="163">
        <f>D113*D108</f>
        <v>0</v>
      </c>
      <c r="F105" s="169" t="s">
        <v>254</v>
      </c>
    </row>
    <row r="106" spans="3:8" x14ac:dyDescent="0.3">
      <c r="C106" s="150" t="s">
        <v>182</v>
      </c>
      <c r="D106" s="157"/>
      <c r="E106" s="163">
        <f>D107</f>
        <v>0</v>
      </c>
      <c r="F106" s="169" t="s">
        <v>254</v>
      </c>
    </row>
    <row r="107" spans="3:8" x14ac:dyDescent="0.3">
      <c r="C107" s="150" t="s">
        <v>187</v>
      </c>
      <c r="D107" s="157"/>
      <c r="E107" s="163">
        <f>D106</f>
        <v>0</v>
      </c>
      <c r="F107" s="169" t="s">
        <v>254</v>
      </c>
    </row>
    <row r="108" spans="3:8" x14ac:dyDescent="0.3">
      <c r="C108" s="150" t="s">
        <v>188</v>
      </c>
      <c r="D108" s="157"/>
      <c r="E108" s="156" t="e">
        <f>D105/D113</f>
        <v>#DIV/0!</v>
      </c>
    </row>
    <row r="109" spans="3:8" x14ac:dyDescent="0.3">
      <c r="C109" s="150" t="s">
        <v>189</v>
      </c>
      <c r="D109" s="157"/>
      <c r="E109" s="156" t="e">
        <f>D101/D102</f>
        <v>#DIV/0!</v>
      </c>
    </row>
    <row r="110" spans="3:8" x14ac:dyDescent="0.3">
      <c r="C110" s="150" t="s">
        <v>190</v>
      </c>
      <c r="D110" s="157"/>
      <c r="E110" s="156"/>
    </row>
    <row r="111" spans="3:8" x14ac:dyDescent="0.3">
      <c r="C111" s="150" t="s">
        <v>191</v>
      </c>
      <c r="D111" s="157"/>
      <c r="E111" s="156"/>
    </row>
    <row r="112" spans="3:8" x14ac:dyDescent="0.3">
      <c r="C112" s="150" t="s">
        <v>192</v>
      </c>
      <c r="D112" s="157"/>
      <c r="E112" s="156"/>
    </row>
    <row r="113" spans="2:8" x14ac:dyDescent="0.3">
      <c r="C113" s="150" t="s">
        <v>183</v>
      </c>
      <c r="D113" s="157"/>
      <c r="E113" s="156" t="e">
        <f>D105/D108</f>
        <v>#DIV/0!</v>
      </c>
      <c r="F113" s="156" t="e">
        <f>(D102*D104)/(D101*D103)</f>
        <v>#DIV/0!</v>
      </c>
      <c r="G113" s="156">
        <f>D109*D110*D111*D112</f>
        <v>0</v>
      </c>
      <c r="H113" s="156" t="e">
        <f>D115/(D114*D116)</f>
        <v>#DIV/0!</v>
      </c>
    </row>
    <row r="114" spans="2:8" x14ac:dyDescent="0.3">
      <c r="C114" s="150" t="s">
        <v>200</v>
      </c>
      <c r="D114" s="157"/>
      <c r="E114" s="163" t="e">
        <f>D115/(D113*D116)</f>
        <v>#DIV/0!</v>
      </c>
      <c r="F114" s="169" t="s">
        <v>65</v>
      </c>
    </row>
    <row r="115" spans="2:8" x14ac:dyDescent="0.3">
      <c r="C115" s="150" t="s">
        <v>199</v>
      </c>
      <c r="D115" s="157"/>
      <c r="E115" s="163">
        <f>D114*D113*D116</f>
        <v>0</v>
      </c>
      <c r="F115" s="169" t="s">
        <v>65</v>
      </c>
    </row>
    <row r="116" spans="2:8" x14ac:dyDescent="0.3">
      <c r="C116" s="150" t="s">
        <v>201</v>
      </c>
      <c r="D116" s="157"/>
      <c r="E116" s="156"/>
    </row>
    <row r="119" spans="2:8" ht="15" thickBot="1" x14ac:dyDescent="0.35"/>
    <row r="120" spans="2:8" ht="21.6" thickBot="1" x14ac:dyDescent="0.45">
      <c r="C120" s="459" t="s">
        <v>207</v>
      </c>
      <c r="D120" s="460"/>
      <c r="E120" s="460"/>
      <c r="F120" s="461"/>
    </row>
    <row r="121" spans="2:8" x14ac:dyDescent="0.3">
      <c r="B121" s="1"/>
      <c r="C121" s="470"/>
      <c r="D121" s="470"/>
      <c r="E121" s="474"/>
      <c r="F121" s="474"/>
    </row>
    <row r="122" spans="2:8" x14ac:dyDescent="0.3">
      <c r="C122" s="173" t="s">
        <v>195</v>
      </c>
      <c r="D122" s="174">
        <v>25</v>
      </c>
      <c r="E122" s="11"/>
      <c r="F122" s="1"/>
    </row>
    <row r="123" spans="2:8" x14ac:dyDescent="0.3">
      <c r="C123" s="173" t="s">
        <v>196</v>
      </c>
      <c r="D123" s="174">
        <v>28</v>
      </c>
    </row>
    <row r="124" spans="2:8" x14ac:dyDescent="0.3">
      <c r="C124" s="173" t="s">
        <v>197</v>
      </c>
      <c r="D124" s="174">
        <v>25</v>
      </c>
    </row>
    <row r="125" spans="2:8" x14ac:dyDescent="0.3">
      <c r="C125" s="173" t="s">
        <v>198</v>
      </c>
      <c r="D125" s="174">
        <v>27</v>
      </c>
    </row>
    <row r="126" spans="2:8" x14ac:dyDescent="0.3">
      <c r="C126" s="173" t="s">
        <v>217</v>
      </c>
      <c r="D126" s="174">
        <v>25</v>
      </c>
    </row>
    <row r="127" spans="2:8" x14ac:dyDescent="0.3">
      <c r="C127" s="173" t="s">
        <v>218</v>
      </c>
      <c r="D127" s="174">
        <v>34</v>
      </c>
    </row>
    <row r="128" spans="2:8" x14ac:dyDescent="0.3">
      <c r="C128" s="173" t="s">
        <v>219</v>
      </c>
      <c r="D128" s="174">
        <v>7</v>
      </c>
    </row>
    <row r="129" spans="3:5" x14ac:dyDescent="0.3">
      <c r="C129" s="173" t="s">
        <v>220</v>
      </c>
      <c r="D129" s="174">
        <v>48</v>
      </c>
    </row>
    <row r="130" spans="3:5" x14ac:dyDescent="0.3">
      <c r="C130" s="173" t="s">
        <v>221</v>
      </c>
      <c r="D130" s="174">
        <v>19</v>
      </c>
    </row>
    <row r="131" spans="3:5" ht="15" thickBot="1" x14ac:dyDescent="0.35">
      <c r="C131" s="298" t="s">
        <v>222</v>
      </c>
      <c r="D131" s="299">
        <v>40</v>
      </c>
    </row>
    <row r="132" spans="3:5" ht="15" thickTop="1" x14ac:dyDescent="0.3">
      <c r="C132" s="302" t="s">
        <v>438</v>
      </c>
      <c r="D132" s="303"/>
    </row>
    <row r="133" spans="3:5" x14ac:dyDescent="0.3">
      <c r="C133" s="304" t="s">
        <v>439</v>
      </c>
      <c r="D133" s="305"/>
    </row>
    <row r="134" spans="3:5" x14ac:dyDescent="0.3">
      <c r="C134" s="304" t="s">
        <v>440</v>
      </c>
      <c r="D134" s="305"/>
    </row>
    <row r="135" spans="3:5" x14ac:dyDescent="0.3">
      <c r="C135" s="304" t="s">
        <v>441</v>
      </c>
      <c r="D135" s="305"/>
    </row>
    <row r="136" spans="3:5" x14ac:dyDescent="0.3">
      <c r="C136" s="304" t="s">
        <v>442</v>
      </c>
      <c r="D136" s="305"/>
    </row>
    <row r="137" spans="3:5" x14ac:dyDescent="0.3">
      <c r="C137" s="304" t="s">
        <v>443</v>
      </c>
      <c r="D137" s="305"/>
    </row>
    <row r="138" spans="3:5" x14ac:dyDescent="0.3">
      <c r="C138" s="304" t="s">
        <v>444</v>
      </c>
      <c r="D138" s="305"/>
    </row>
    <row r="139" spans="3:5" x14ac:dyDescent="0.3">
      <c r="C139" s="304" t="s">
        <v>445</v>
      </c>
      <c r="D139" s="305"/>
    </row>
    <row r="140" spans="3:5" x14ac:dyDescent="0.3">
      <c r="C140" s="304" t="s">
        <v>446</v>
      </c>
      <c r="D140" s="305"/>
    </row>
    <row r="141" spans="3:5" x14ac:dyDescent="0.3">
      <c r="C141" s="304" t="s">
        <v>447</v>
      </c>
      <c r="D141" s="305"/>
    </row>
    <row r="142" spans="3:5" x14ac:dyDescent="0.3">
      <c r="C142" s="304" t="s">
        <v>448</v>
      </c>
      <c r="D142" s="305"/>
    </row>
    <row r="143" spans="3:5" ht="15" thickBot="1" x14ac:dyDescent="0.35">
      <c r="C143" s="306" t="s">
        <v>449</v>
      </c>
      <c r="D143" s="307"/>
    </row>
    <row r="144" spans="3:5" ht="15" thickTop="1" x14ac:dyDescent="0.3">
      <c r="C144" s="300" t="s">
        <v>181</v>
      </c>
      <c r="D144" s="301"/>
      <c r="E144" s="189" t="s">
        <v>254</v>
      </c>
    </row>
    <row r="145" spans="3:7" x14ac:dyDescent="0.3">
      <c r="C145" s="175" t="s">
        <v>182</v>
      </c>
      <c r="D145" s="190"/>
      <c r="E145" s="189" t="s">
        <v>254</v>
      </c>
    </row>
    <row r="146" spans="3:7" x14ac:dyDescent="0.3">
      <c r="C146" s="175" t="s">
        <v>187</v>
      </c>
      <c r="D146" s="190"/>
      <c r="E146" s="189" t="s">
        <v>254</v>
      </c>
    </row>
    <row r="147" spans="3:7" x14ac:dyDescent="0.3">
      <c r="C147" s="175" t="s">
        <v>188</v>
      </c>
      <c r="D147" s="176"/>
      <c r="E147" s="191" t="e">
        <f>D156/(D155*D157)</f>
        <v>#DIV/0!</v>
      </c>
      <c r="F147" s="189" t="s">
        <v>254</v>
      </c>
    </row>
    <row r="148" spans="3:7" x14ac:dyDescent="0.3">
      <c r="C148" s="175" t="s">
        <v>225</v>
      </c>
      <c r="D148" s="176"/>
      <c r="E148" s="191">
        <f>D161*D153</f>
        <v>0</v>
      </c>
      <c r="F148" s="189" t="s">
        <v>254</v>
      </c>
    </row>
    <row r="149" spans="3:7" x14ac:dyDescent="0.3">
      <c r="C149" s="177" t="s">
        <v>211</v>
      </c>
      <c r="D149" s="145"/>
      <c r="E149" s="146" t="e">
        <f>D144/D145</f>
        <v>#DIV/0!</v>
      </c>
      <c r="F149" s="146">
        <f>D123/D122</f>
        <v>1.1200000000000001</v>
      </c>
    </row>
    <row r="150" spans="3:7" x14ac:dyDescent="0.3">
      <c r="C150" s="177" t="s">
        <v>212</v>
      </c>
      <c r="D150" s="145"/>
      <c r="E150" s="146">
        <f>D125/D124</f>
        <v>1.08</v>
      </c>
      <c r="F150" s="146" t="e">
        <f>D146/D147</f>
        <v>#DIV/0!</v>
      </c>
    </row>
    <row r="151" spans="3:7" x14ac:dyDescent="0.3">
      <c r="C151" s="177" t="s">
        <v>223</v>
      </c>
      <c r="D151" s="145"/>
      <c r="E151" s="146">
        <f>D127/D126</f>
        <v>1.36</v>
      </c>
    </row>
    <row r="152" spans="3:7" x14ac:dyDescent="0.3">
      <c r="C152" s="177" t="s">
        <v>224</v>
      </c>
      <c r="D152" s="145"/>
      <c r="E152" s="146">
        <f>D129/D128</f>
        <v>6.8571428571428568</v>
      </c>
    </row>
    <row r="153" spans="3:7" x14ac:dyDescent="0.3">
      <c r="C153" s="177" t="s">
        <v>213</v>
      </c>
      <c r="D153" s="145"/>
      <c r="E153" s="146">
        <f>D131/D130</f>
        <v>2.1052631578947367</v>
      </c>
    </row>
    <row r="154" spans="3:7" x14ac:dyDescent="0.3">
      <c r="C154" s="177" t="s">
        <v>210</v>
      </c>
      <c r="D154" s="145"/>
      <c r="E154" s="146" t="e">
        <f>D156/(D155*D157)</f>
        <v>#DIV/0!</v>
      </c>
      <c r="F154" s="146">
        <f>(D123/D122)*(D125/D124)*(D127/D126)*(D129/D128)*(D131/D130)</f>
        <v>23.74817684210527</v>
      </c>
      <c r="G154">
        <f>D149*D150*D151*D152</f>
        <v>0</v>
      </c>
    </row>
    <row r="155" spans="3:7" x14ac:dyDescent="0.3">
      <c r="C155" s="150" t="s">
        <v>209</v>
      </c>
      <c r="D155" s="157"/>
      <c r="E155" s="156" t="e">
        <f>D156/(D154*D157)</f>
        <v>#DIV/0!</v>
      </c>
    </row>
    <row r="156" spans="3:7" x14ac:dyDescent="0.3">
      <c r="C156" s="150" t="s">
        <v>208</v>
      </c>
      <c r="D156" s="157"/>
      <c r="E156" s="156">
        <f>D155*D147*D157</f>
        <v>0</v>
      </c>
    </row>
    <row r="157" spans="3:7" ht="14.4" customHeight="1" x14ac:dyDescent="0.35">
      <c r="C157" s="150" t="s">
        <v>214</v>
      </c>
      <c r="D157" s="157"/>
      <c r="E157" s="156" t="e">
        <f>D156/(D155*D154)</f>
        <v>#DIV/0!</v>
      </c>
    </row>
    <row r="158" spans="3:7" x14ac:dyDescent="0.3">
      <c r="C158" s="150" t="s">
        <v>215</v>
      </c>
      <c r="D158" s="157"/>
      <c r="E158" s="163" t="e">
        <f>D159/D160</f>
        <v>#DIV/0!</v>
      </c>
      <c r="F158" s="192" t="s">
        <v>7</v>
      </c>
    </row>
    <row r="159" spans="3:7" x14ac:dyDescent="0.3">
      <c r="C159" s="150" t="s">
        <v>216</v>
      </c>
      <c r="D159" s="157"/>
      <c r="E159" s="163">
        <f>D158*D160</f>
        <v>0</v>
      </c>
      <c r="F159" s="192" t="s">
        <v>65</v>
      </c>
    </row>
    <row r="160" spans="3:7" x14ac:dyDescent="0.3">
      <c r="C160" s="150" t="s">
        <v>177</v>
      </c>
      <c r="D160" s="157"/>
      <c r="E160" s="163" t="e">
        <f>D159/D158</f>
        <v>#DIV/0!</v>
      </c>
      <c r="F160" s="192" t="s">
        <v>82</v>
      </c>
    </row>
    <row r="161" spans="3:6" x14ac:dyDescent="0.3">
      <c r="C161" s="175" t="s">
        <v>226</v>
      </c>
      <c r="D161" s="176"/>
      <c r="E161" s="191">
        <f>D162*D154</f>
        <v>0</v>
      </c>
      <c r="F161" s="189" t="s">
        <v>254</v>
      </c>
    </row>
    <row r="162" spans="3:6" x14ac:dyDescent="0.3">
      <c r="C162" s="175" t="s">
        <v>227</v>
      </c>
      <c r="D162" s="176"/>
      <c r="E162" s="191" t="e">
        <f>D161/D154</f>
        <v>#DIV/0!</v>
      </c>
      <c r="F162" s="189" t="s">
        <v>254</v>
      </c>
    </row>
    <row r="195" spans="3:7" ht="15" thickBot="1" x14ac:dyDescent="0.35"/>
    <row r="196" spans="3:7" ht="21.6" thickBot="1" x14ac:dyDescent="0.45">
      <c r="C196" s="459" t="s">
        <v>305</v>
      </c>
      <c r="D196" s="460"/>
      <c r="E196" s="460"/>
      <c r="F196" s="460"/>
      <c r="G196" s="461"/>
    </row>
    <row r="197" spans="3:7" x14ac:dyDescent="0.3">
      <c r="C197" s="462"/>
      <c r="D197" s="462"/>
      <c r="E197" s="463"/>
      <c r="F197" s="463"/>
    </row>
    <row r="198" spans="3:7" x14ac:dyDescent="0.3">
      <c r="C198" s="150" t="s">
        <v>306</v>
      </c>
      <c r="D198" s="164"/>
      <c r="E198" s="156" t="e">
        <f>D199/D200</f>
        <v>#DIV/0!</v>
      </c>
      <c r="F198" s="156" t="e">
        <f>D201/D202</f>
        <v>#DIV/0!</v>
      </c>
    </row>
    <row r="199" spans="3:7" x14ac:dyDescent="0.3">
      <c r="C199" s="150" t="s">
        <v>307</v>
      </c>
      <c r="D199" s="164"/>
      <c r="E199" s="156">
        <f>D198*D200</f>
        <v>0</v>
      </c>
      <c r="F199" s="156" t="e">
        <f>D201/D198</f>
        <v>#DIV/0!</v>
      </c>
    </row>
    <row r="200" spans="3:7" x14ac:dyDescent="0.3">
      <c r="C200" s="150" t="s">
        <v>308</v>
      </c>
      <c r="D200" s="164"/>
      <c r="E200" s="156" t="e">
        <f>D199/D198</f>
        <v>#DIV/0!</v>
      </c>
      <c r="F200" s="183"/>
    </row>
    <row r="201" spans="3:7" x14ac:dyDescent="0.3">
      <c r="C201" s="150" t="s">
        <v>309</v>
      </c>
      <c r="D201" s="164"/>
      <c r="E201" s="198" t="s">
        <v>254</v>
      </c>
      <c r="F201" s="156">
        <f>D198*D202</f>
        <v>0</v>
      </c>
    </row>
    <row r="202" spans="3:7" x14ac:dyDescent="0.3">
      <c r="C202" s="150" t="s">
        <v>310</v>
      </c>
      <c r="D202" s="164"/>
      <c r="E202" s="186" t="s">
        <v>254</v>
      </c>
      <c r="F202" s="156" t="e">
        <f>D201/D198</f>
        <v>#DIV/0!</v>
      </c>
    </row>
    <row r="203" spans="3:7" x14ac:dyDescent="0.3">
      <c r="C203" s="150" t="s">
        <v>311</v>
      </c>
      <c r="D203" s="164"/>
      <c r="E203" s="186" t="s">
        <v>65</v>
      </c>
      <c r="F203" s="156"/>
    </row>
    <row r="204" spans="3:7" x14ac:dyDescent="0.3">
      <c r="C204" s="150" t="s">
        <v>312</v>
      </c>
      <c r="D204" s="164"/>
      <c r="E204" s="186" t="s">
        <v>65</v>
      </c>
      <c r="F204" s="156">
        <f>D203*D198</f>
        <v>0</v>
      </c>
    </row>
    <row r="205" spans="3:7" x14ac:dyDescent="0.3">
      <c r="C205" s="194" t="s">
        <v>313</v>
      </c>
      <c r="D205" s="195"/>
      <c r="E205" s="196" t="s">
        <v>65</v>
      </c>
      <c r="F205" s="162">
        <f>D204/2</f>
        <v>0</v>
      </c>
      <c r="G205" s="156">
        <f>(D203*D198)/2</f>
        <v>0</v>
      </c>
    </row>
    <row r="206" spans="3:7" x14ac:dyDescent="0.3">
      <c r="C206" s="197"/>
      <c r="D206" s="197"/>
      <c r="E206" s="197"/>
      <c r="F206" s="197"/>
    </row>
    <row r="207" spans="3:7" x14ac:dyDescent="0.3">
      <c r="C207" s="183"/>
      <c r="D207" s="183"/>
      <c r="E207" s="183"/>
      <c r="F207" s="183"/>
    </row>
    <row r="208" spans="3:7" x14ac:dyDescent="0.3">
      <c r="C208" s="183"/>
      <c r="D208" s="183"/>
      <c r="E208" s="183"/>
      <c r="F208" s="183"/>
    </row>
    <row r="209" spans="3:7" x14ac:dyDescent="0.3">
      <c r="C209" s="183"/>
      <c r="D209" s="183"/>
      <c r="E209" s="183"/>
      <c r="F209" s="183"/>
    </row>
    <row r="210" spans="3:7" x14ac:dyDescent="0.3">
      <c r="C210" s="183"/>
      <c r="D210" s="183"/>
      <c r="E210" s="183"/>
      <c r="F210" s="183"/>
    </row>
    <row r="214" spans="3:7" ht="15" thickBot="1" x14ac:dyDescent="0.35"/>
    <row r="215" spans="3:7" ht="21.6" thickBot="1" x14ac:dyDescent="0.45">
      <c r="C215" s="459" t="s">
        <v>314</v>
      </c>
      <c r="D215" s="460"/>
      <c r="E215" s="460"/>
      <c r="F215" s="460"/>
      <c r="G215" s="461"/>
    </row>
    <row r="216" spans="3:7" x14ac:dyDescent="0.3">
      <c r="C216" s="462"/>
      <c r="D216" s="462"/>
      <c r="E216" s="463"/>
      <c r="F216" s="463"/>
    </row>
    <row r="217" spans="3:7" x14ac:dyDescent="0.3">
      <c r="C217" s="150" t="s">
        <v>315</v>
      </c>
      <c r="D217" s="164"/>
      <c r="E217" s="163">
        <f>D219*D218</f>
        <v>0</v>
      </c>
      <c r="F217" s="200"/>
    </row>
    <row r="218" spans="3:7" x14ac:dyDescent="0.3">
      <c r="C218" s="150" t="s">
        <v>316</v>
      </c>
      <c r="D218" s="164"/>
      <c r="E218" s="163" t="e">
        <f>D217/D218</f>
        <v>#DIV/0!</v>
      </c>
      <c r="F218" s="200"/>
    </row>
    <row r="219" spans="3:7" x14ac:dyDescent="0.3">
      <c r="C219" s="150" t="s">
        <v>317</v>
      </c>
      <c r="D219" s="164"/>
      <c r="E219" s="156" t="e">
        <f>D217/D218</f>
        <v>#DIV/0!</v>
      </c>
      <c r="F219" s="183"/>
    </row>
    <row r="220" spans="3:7" x14ac:dyDescent="0.3">
      <c r="C220" s="150" t="s">
        <v>318</v>
      </c>
      <c r="D220" s="164"/>
      <c r="E220" s="198" t="s">
        <v>254</v>
      </c>
      <c r="F220" s="156">
        <f>D223*D217</f>
        <v>0</v>
      </c>
      <c r="G220" s="156">
        <f>D221*D219*D218</f>
        <v>0</v>
      </c>
    </row>
    <row r="221" spans="3:7" x14ac:dyDescent="0.3">
      <c r="C221" s="150" t="s">
        <v>319</v>
      </c>
      <c r="D221" s="164"/>
      <c r="E221" s="186" t="s">
        <v>254</v>
      </c>
      <c r="F221" s="156" t="e">
        <f>D221/D217</f>
        <v>#DIV/0!</v>
      </c>
      <c r="G221" s="156" t="e">
        <f>D220/(D219*D218)</f>
        <v>#DIV/0!</v>
      </c>
    </row>
    <row r="222" spans="3:7" x14ac:dyDescent="0.3">
      <c r="C222" s="150" t="s">
        <v>320</v>
      </c>
      <c r="D222" s="164"/>
      <c r="E222" s="186" t="s">
        <v>65</v>
      </c>
      <c r="F222" s="156">
        <f>2*D223*D217</f>
        <v>0</v>
      </c>
    </row>
    <row r="223" spans="3:7" x14ac:dyDescent="0.3">
      <c r="C223" s="150" t="s">
        <v>321</v>
      </c>
      <c r="D223" s="164"/>
      <c r="E223" s="186" t="s">
        <v>65</v>
      </c>
      <c r="F223" s="156" t="e">
        <f>(D222/D217)/2</f>
        <v>#DIV/0!</v>
      </c>
      <c r="G223" s="11"/>
    </row>
    <row r="224" spans="3:7" x14ac:dyDescent="0.3">
      <c r="C224" s="197"/>
      <c r="D224" s="197"/>
      <c r="E224" s="197"/>
      <c r="F224" s="197"/>
      <c r="G224" s="183"/>
    </row>
    <row r="228" spans="3:7" ht="15" thickBot="1" x14ac:dyDescent="0.35"/>
    <row r="229" spans="3:7" ht="21.6" thickBot="1" x14ac:dyDescent="0.45">
      <c r="C229" s="459" t="s">
        <v>322</v>
      </c>
      <c r="D229" s="460"/>
      <c r="E229" s="460"/>
      <c r="F229" s="460"/>
      <c r="G229" s="461"/>
    </row>
    <row r="230" spans="3:7" x14ac:dyDescent="0.3">
      <c r="C230" s="462"/>
      <c r="D230" s="462"/>
      <c r="E230" s="463"/>
      <c r="F230" s="463"/>
    </row>
    <row r="231" spans="3:7" x14ac:dyDescent="0.3">
      <c r="C231" s="150" t="s">
        <v>323</v>
      </c>
      <c r="D231" s="164"/>
      <c r="E231" s="163" t="e">
        <f>(120*PI()*D233*D232)/(1000*D234)</f>
        <v>#DIV/0!</v>
      </c>
      <c r="F231" s="186" t="s">
        <v>327</v>
      </c>
    </row>
    <row r="232" spans="3:7" x14ac:dyDescent="0.3">
      <c r="C232" s="150" t="s">
        <v>324</v>
      </c>
      <c r="D232" s="164"/>
      <c r="E232" s="163" t="e">
        <f>(D231*1000*D234)/(120*PI()*D233)</f>
        <v>#DIV/0!</v>
      </c>
      <c r="F232" s="186" t="s">
        <v>254</v>
      </c>
    </row>
    <row r="233" spans="3:7" x14ac:dyDescent="0.3">
      <c r="C233" s="150" t="s">
        <v>325</v>
      </c>
      <c r="D233" s="164"/>
      <c r="E233" s="163" t="e">
        <f>(D231*1000*D234)/(120*PI()*D232)</f>
        <v>#DIV/0!</v>
      </c>
      <c r="F233" s="196" t="s">
        <v>82</v>
      </c>
    </row>
    <row r="234" spans="3:7" x14ac:dyDescent="0.3">
      <c r="C234" s="194" t="s">
        <v>326</v>
      </c>
      <c r="D234" s="195"/>
      <c r="E234" s="163" t="e">
        <f>(120*PI()*D233*D232)/(D231*1000)</f>
        <v>#DIV/0!</v>
      </c>
      <c r="F234" s="199"/>
      <c r="G234" s="183"/>
    </row>
    <row r="235" spans="3:7" x14ac:dyDescent="0.3">
      <c r="C235" s="197"/>
      <c r="D235" s="197"/>
      <c r="E235" s="197"/>
      <c r="F235" s="183"/>
      <c r="G235" s="183"/>
    </row>
    <row r="236" spans="3:7" x14ac:dyDescent="0.3">
      <c r="C236" s="183"/>
      <c r="D236" s="183"/>
      <c r="E236" s="183"/>
      <c r="F236" s="183"/>
      <c r="G236" s="183"/>
    </row>
    <row r="237" spans="3:7" x14ac:dyDescent="0.3">
      <c r="C237" s="183"/>
      <c r="D237" s="183"/>
      <c r="E237" s="183"/>
      <c r="F237" s="183"/>
      <c r="G237" s="183"/>
    </row>
  </sheetData>
  <mergeCells count="18">
    <mergeCell ref="C67:F67"/>
    <mergeCell ref="C99:G99"/>
    <mergeCell ref="C100:G100"/>
    <mergeCell ref="C120:F120"/>
    <mergeCell ref="C121:F121"/>
    <mergeCell ref="C52:E52"/>
    <mergeCell ref="C53:E53"/>
    <mergeCell ref="C66:F66"/>
    <mergeCell ref="C5:F5"/>
    <mergeCell ref="C4:F4"/>
    <mergeCell ref="C25:G25"/>
    <mergeCell ref="C26:G26"/>
    <mergeCell ref="C229:G229"/>
    <mergeCell ref="C230:F230"/>
    <mergeCell ref="C197:F197"/>
    <mergeCell ref="C196:G196"/>
    <mergeCell ref="C215:G215"/>
    <mergeCell ref="C216:F216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5DB2-A7F9-455E-BC6E-D55C31A9FC6C}">
  <dimension ref="B4:H54"/>
  <sheetViews>
    <sheetView workbookViewId="0">
      <selection activeCell="D49" sqref="D49"/>
    </sheetView>
  </sheetViews>
  <sheetFormatPr baseColWidth="10" defaultRowHeight="14.4" x14ac:dyDescent="0.3"/>
  <cols>
    <col min="2" max="2" width="13.77734375" customWidth="1"/>
    <col min="3" max="3" width="4.77734375" customWidth="1"/>
    <col min="5" max="5" width="5.6640625" customWidth="1"/>
  </cols>
  <sheetData>
    <row r="4" spans="2:8" ht="15" thickBot="1" x14ac:dyDescent="0.35"/>
    <row r="5" spans="2:8" ht="21.6" thickBot="1" x14ac:dyDescent="0.45">
      <c r="B5" s="475" t="s">
        <v>328</v>
      </c>
      <c r="C5" s="476"/>
      <c r="D5" s="476"/>
      <c r="E5" s="476"/>
      <c r="F5" s="477"/>
      <c r="G5" s="205"/>
    </row>
    <row r="6" spans="2:8" x14ac:dyDescent="0.3">
      <c r="B6" s="462"/>
      <c r="C6" s="462"/>
      <c r="D6" s="462"/>
      <c r="E6" s="463"/>
      <c r="F6" s="463"/>
    </row>
    <row r="7" spans="2:8" x14ac:dyDescent="0.3">
      <c r="B7" s="146" t="s">
        <v>329</v>
      </c>
      <c r="C7" s="203" t="s">
        <v>331</v>
      </c>
      <c r="D7" s="201"/>
      <c r="E7" s="202" t="s">
        <v>239</v>
      </c>
      <c r="F7" s="146">
        <f>D8/(2*PI())</f>
        <v>0</v>
      </c>
      <c r="G7" s="193"/>
    </row>
    <row r="8" spans="2:8" x14ac:dyDescent="0.3">
      <c r="B8" s="146" t="s">
        <v>330</v>
      </c>
      <c r="C8" s="203" t="s">
        <v>332</v>
      </c>
      <c r="D8" s="201"/>
      <c r="E8" s="204" t="s">
        <v>239</v>
      </c>
      <c r="F8" s="146">
        <f>2*PI()*D7</f>
        <v>0</v>
      </c>
      <c r="G8" s="193"/>
    </row>
    <row r="9" spans="2:8" x14ac:dyDescent="0.3">
      <c r="B9" s="197"/>
      <c r="C9" s="197"/>
      <c r="D9" s="197"/>
      <c r="E9" s="197"/>
      <c r="F9" s="183"/>
      <c r="G9" s="193"/>
    </row>
    <row r="10" spans="2:8" x14ac:dyDescent="0.3">
      <c r="B10" s="183"/>
      <c r="C10" s="183"/>
      <c r="D10" s="183"/>
      <c r="E10" s="183"/>
      <c r="F10" s="183"/>
      <c r="G10" s="183"/>
      <c r="H10" s="1"/>
    </row>
    <row r="11" spans="2:8" ht="15" thickBot="1" x14ac:dyDescent="0.35">
      <c r="B11" s="183"/>
      <c r="C11" s="183"/>
      <c r="D11" s="183"/>
      <c r="E11" s="183"/>
      <c r="F11" s="183"/>
      <c r="G11" s="183"/>
      <c r="H11" s="1"/>
    </row>
    <row r="12" spans="2:8" ht="21.6" thickBot="1" x14ac:dyDescent="0.45">
      <c r="B12" s="475" t="s">
        <v>333</v>
      </c>
      <c r="C12" s="476"/>
      <c r="D12" s="476"/>
      <c r="E12" s="476"/>
      <c r="F12" s="477"/>
      <c r="G12" s="183"/>
      <c r="H12" s="1"/>
    </row>
    <row r="13" spans="2:8" x14ac:dyDescent="0.3">
      <c r="B13" s="462"/>
      <c r="C13" s="462"/>
      <c r="D13" s="462"/>
      <c r="E13" s="463"/>
      <c r="F13" s="463"/>
      <c r="G13" s="183"/>
      <c r="H13" s="1"/>
    </row>
    <row r="14" spans="2:8" x14ac:dyDescent="0.3">
      <c r="B14" s="146" t="s">
        <v>334</v>
      </c>
      <c r="C14" s="203" t="s">
        <v>335</v>
      </c>
      <c r="D14" s="201"/>
      <c r="E14" s="202" t="s">
        <v>239</v>
      </c>
      <c r="F14" s="146">
        <f>D17*2+(25.4*D15)</f>
        <v>984</v>
      </c>
      <c r="G14" s="1"/>
      <c r="H14" s="1"/>
    </row>
    <row r="15" spans="2:8" x14ac:dyDescent="0.3">
      <c r="B15" s="146" t="s">
        <v>336</v>
      </c>
      <c r="C15" s="203" t="s">
        <v>344</v>
      </c>
      <c r="D15" s="201">
        <v>20</v>
      </c>
      <c r="E15" s="204" t="s">
        <v>337</v>
      </c>
      <c r="F15" s="181"/>
      <c r="G15" s="1"/>
      <c r="H15" s="1"/>
    </row>
    <row r="16" spans="2:8" x14ac:dyDescent="0.3">
      <c r="B16" s="146" t="s">
        <v>338</v>
      </c>
      <c r="C16" s="203" t="s">
        <v>339</v>
      </c>
      <c r="D16" s="201">
        <v>280</v>
      </c>
      <c r="E16" s="202" t="s">
        <v>239</v>
      </c>
      <c r="F16" s="146">
        <f>(D17*100)/D18</f>
        <v>280</v>
      </c>
    </row>
    <row r="17" spans="2:6" x14ac:dyDescent="0.3">
      <c r="B17" s="146" t="s">
        <v>340</v>
      </c>
      <c r="C17" s="203" t="s">
        <v>341</v>
      </c>
      <c r="D17" s="201">
        <v>238</v>
      </c>
      <c r="E17" s="204" t="s">
        <v>239</v>
      </c>
      <c r="F17" s="146">
        <f>(D18*D16)/100</f>
        <v>238</v>
      </c>
    </row>
    <row r="18" spans="2:6" x14ac:dyDescent="0.3">
      <c r="B18" s="146" t="s">
        <v>342</v>
      </c>
      <c r="C18" s="146" t="s">
        <v>343</v>
      </c>
      <c r="D18" s="201">
        <v>85</v>
      </c>
      <c r="E18" s="202" t="s">
        <v>122</v>
      </c>
      <c r="F18" s="146">
        <f>(D17*100)/D16</f>
        <v>85</v>
      </c>
    </row>
    <row r="21" spans="2:6" ht="15" thickBot="1" x14ac:dyDescent="0.35"/>
    <row r="22" spans="2:6" ht="21.6" thickBot="1" x14ac:dyDescent="0.45">
      <c r="B22" s="475" t="s">
        <v>345</v>
      </c>
      <c r="C22" s="476"/>
      <c r="D22" s="476"/>
      <c r="E22" s="476"/>
      <c r="F22" s="477"/>
    </row>
    <row r="23" spans="2:6" x14ac:dyDescent="0.3">
      <c r="B23" s="462"/>
      <c r="C23" s="462"/>
      <c r="D23" s="462"/>
      <c r="E23" s="463"/>
      <c r="F23" s="463"/>
    </row>
    <row r="24" spans="2:6" x14ac:dyDescent="0.3">
      <c r="B24" s="146" t="s">
        <v>346</v>
      </c>
      <c r="C24" s="203" t="s">
        <v>347</v>
      </c>
      <c r="D24" s="201"/>
      <c r="E24" s="202" t="s">
        <v>82</v>
      </c>
      <c r="F24" s="146">
        <f>(D25*D26)/1000</f>
        <v>0</v>
      </c>
    </row>
    <row r="25" spans="2:6" x14ac:dyDescent="0.3">
      <c r="B25" s="146" t="s">
        <v>345</v>
      </c>
      <c r="C25" s="203" t="s">
        <v>348</v>
      </c>
      <c r="D25" s="201"/>
      <c r="E25" s="204" t="s">
        <v>239</v>
      </c>
      <c r="F25" s="146" t="e">
        <f>(D24*1000)/D26</f>
        <v>#DIV/0!</v>
      </c>
    </row>
    <row r="26" spans="2:6" x14ac:dyDescent="0.3">
      <c r="B26" s="146" t="s">
        <v>349</v>
      </c>
      <c r="C26" s="203" t="s">
        <v>350</v>
      </c>
      <c r="D26" s="201"/>
      <c r="E26" s="202"/>
      <c r="F26" s="146" t="e">
        <f>(D24*1000)/D25</f>
        <v>#DIV/0!</v>
      </c>
    </row>
    <row r="27" spans="2:6" x14ac:dyDescent="0.3">
      <c r="B27" s="183"/>
      <c r="C27" s="183"/>
      <c r="D27" s="183"/>
      <c r="E27" s="183"/>
      <c r="F27" s="183"/>
    </row>
    <row r="28" spans="2:6" ht="15" thickBot="1" x14ac:dyDescent="0.35">
      <c r="B28" s="183"/>
      <c r="C28" s="183"/>
      <c r="D28" s="183"/>
      <c r="E28" s="183"/>
      <c r="F28" s="183"/>
    </row>
    <row r="29" spans="2:6" ht="21.6" thickBot="1" x14ac:dyDescent="0.45">
      <c r="B29" s="475" t="s">
        <v>351</v>
      </c>
      <c r="C29" s="476"/>
      <c r="D29" s="476"/>
      <c r="E29" s="476"/>
      <c r="F29" s="477"/>
    </row>
    <row r="30" spans="2:6" x14ac:dyDescent="0.3">
      <c r="B30" s="462"/>
      <c r="C30" s="462"/>
      <c r="D30" s="462"/>
      <c r="E30" s="463"/>
      <c r="F30" s="463"/>
    </row>
    <row r="31" spans="2:6" x14ac:dyDescent="0.3">
      <c r="B31" s="146" t="s">
        <v>352</v>
      </c>
      <c r="C31" s="206" t="s">
        <v>357</v>
      </c>
      <c r="D31" s="201"/>
      <c r="E31" s="202" t="s">
        <v>122</v>
      </c>
      <c r="F31" s="146" t="e">
        <f>((D33-D34)/D33)*100</f>
        <v>#DIV/0!</v>
      </c>
    </row>
    <row r="32" spans="2:6" x14ac:dyDescent="0.3">
      <c r="B32" s="146" t="s">
        <v>353</v>
      </c>
      <c r="C32" s="203" t="s">
        <v>358</v>
      </c>
      <c r="D32" s="201"/>
      <c r="E32" s="204" t="s">
        <v>122</v>
      </c>
      <c r="F32" s="146" t="e">
        <f>((D34-D33)/D34)*100</f>
        <v>#DIV/0!</v>
      </c>
    </row>
    <row r="33" spans="2:6" x14ac:dyDescent="0.3">
      <c r="B33" s="146" t="s">
        <v>354</v>
      </c>
      <c r="C33" s="203" t="s">
        <v>359</v>
      </c>
      <c r="D33" s="201"/>
      <c r="E33" s="202" t="s">
        <v>33</v>
      </c>
      <c r="F33" s="146"/>
    </row>
    <row r="34" spans="2:6" x14ac:dyDescent="0.3">
      <c r="B34" s="146" t="s">
        <v>355</v>
      </c>
      <c r="C34" s="146" t="s">
        <v>356</v>
      </c>
      <c r="D34" s="201"/>
      <c r="E34" s="202" t="s">
        <v>33</v>
      </c>
      <c r="F34" s="146"/>
    </row>
    <row r="37" spans="2:6" ht="15" thickBot="1" x14ac:dyDescent="0.35"/>
    <row r="38" spans="2:6" ht="21.6" thickBot="1" x14ac:dyDescent="0.45">
      <c r="B38" s="475" t="s">
        <v>355</v>
      </c>
      <c r="C38" s="476"/>
      <c r="D38" s="476"/>
      <c r="E38" s="476"/>
      <c r="F38" s="477"/>
    </row>
    <row r="39" spans="2:6" x14ac:dyDescent="0.3">
      <c r="B39" s="462"/>
      <c r="C39" s="462"/>
      <c r="D39" s="462"/>
      <c r="E39" s="463"/>
      <c r="F39" s="463"/>
    </row>
    <row r="40" spans="2:6" x14ac:dyDescent="0.3">
      <c r="B40" s="146" t="s">
        <v>355</v>
      </c>
      <c r="C40" s="206" t="s">
        <v>125</v>
      </c>
      <c r="D40" s="201">
        <v>20</v>
      </c>
      <c r="E40" s="202" t="s">
        <v>33</v>
      </c>
      <c r="F40" s="146">
        <f>(120*PI()*D41*D42)/1000</f>
        <v>0</v>
      </c>
    </row>
    <row r="41" spans="2:6" x14ac:dyDescent="0.3">
      <c r="B41" s="146" t="s">
        <v>360</v>
      </c>
      <c r="C41" s="203" t="s">
        <v>361</v>
      </c>
      <c r="D41" s="201"/>
      <c r="E41" s="204" t="s">
        <v>254</v>
      </c>
      <c r="F41" s="146">
        <f>(D40*1000)/(120*PI()*D42)</f>
        <v>107.82855223028142</v>
      </c>
    </row>
    <row r="42" spans="2:6" x14ac:dyDescent="0.3">
      <c r="B42" s="146" t="s">
        <v>329</v>
      </c>
      <c r="C42" s="203" t="s">
        <v>331</v>
      </c>
      <c r="D42" s="201">
        <v>0.49199999999999999</v>
      </c>
      <c r="E42" s="202" t="s">
        <v>82</v>
      </c>
      <c r="F42" s="146" t="e">
        <f>(D40*1000)/(120*PI()*D41)</f>
        <v>#DIV/0!</v>
      </c>
    </row>
    <row r="43" spans="2:6" x14ac:dyDescent="0.3">
      <c r="B43" s="183"/>
      <c r="C43" s="183"/>
      <c r="D43" s="183"/>
      <c r="E43" s="183"/>
      <c r="F43" s="183"/>
    </row>
    <row r="46" spans="2:6" ht="15" thickBot="1" x14ac:dyDescent="0.35"/>
    <row r="47" spans="2:6" ht="21.6" thickBot="1" x14ac:dyDescent="0.45">
      <c r="B47" s="475" t="s">
        <v>362</v>
      </c>
      <c r="C47" s="476"/>
      <c r="D47" s="476"/>
      <c r="E47" s="476"/>
      <c r="F47" s="477"/>
    </row>
    <row r="48" spans="2:6" x14ac:dyDescent="0.3">
      <c r="B48" s="462"/>
      <c r="C48" s="462"/>
      <c r="D48" s="462"/>
      <c r="E48" s="463"/>
      <c r="F48" s="463"/>
    </row>
    <row r="49" spans="2:6" x14ac:dyDescent="0.3">
      <c r="B49" s="146" t="s">
        <v>363</v>
      </c>
      <c r="C49" s="206" t="s">
        <v>364</v>
      </c>
      <c r="D49" s="201"/>
      <c r="E49" s="202" t="s">
        <v>7</v>
      </c>
      <c r="F49" s="146">
        <f>D50*D51</f>
        <v>0</v>
      </c>
    </row>
    <row r="50" spans="2:6" x14ac:dyDescent="0.3">
      <c r="B50" s="146" t="s">
        <v>365</v>
      </c>
      <c r="C50" s="203" t="s">
        <v>366</v>
      </c>
      <c r="D50" s="201"/>
      <c r="E50" s="204" t="s">
        <v>7</v>
      </c>
      <c r="F50" s="146"/>
    </row>
    <row r="51" spans="2:6" x14ac:dyDescent="0.3">
      <c r="B51" s="146" t="s">
        <v>367</v>
      </c>
      <c r="C51" s="203" t="s">
        <v>368</v>
      </c>
      <c r="D51" s="201"/>
      <c r="E51" s="202"/>
      <c r="F51" s="146"/>
    </row>
    <row r="52" spans="2:6" x14ac:dyDescent="0.3">
      <c r="B52" s="208" t="s">
        <v>369</v>
      </c>
      <c r="C52" s="209" t="s">
        <v>82</v>
      </c>
      <c r="E52" t="s">
        <v>370</v>
      </c>
    </row>
    <row r="53" spans="2:6" x14ac:dyDescent="0.3">
      <c r="B53" s="208" t="s">
        <v>371</v>
      </c>
      <c r="C53" s="209" t="s">
        <v>372</v>
      </c>
      <c r="E53" s="210" t="s">
        <v>7</v>
      </c>
    </row>
    <row r="54" spans="2:6" x14ac:dyDescent="0.3">
      <c r="B54" s="208" t="s">
        <v>373</v>
      </c>
      <c r="C54" s="209" t="s">
        <v>347</v>
      </c>
      <c r="E54" s="210" t="s">
        <v>82</v>
      </c>
    </row>
  </sheetData>
  <mergeCells count="12">
    <mergeCell ref="B6:F6"/>
    <mergeCell ref="B5:F5"/>
    <mergeCell ref="B12:F12"/>
    <mergeCell ref="B39:F39"/>
    <mergeCell ref="B47:F47"/>
    <mergeCell ref="B48:F48"/>
    <mergeCell ref="B13:F13"/>
    <mergeCell ref="B22:F22"/>
    <mergeCell ref="B23:F23"/>
    <mergeCell ref="B29:F29"/>
    <mergeCell ref="B30:F30"/>
    <mergeCell ref="B38:F3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DDF-77A7-4125-A91F-458D2775A4C8}">
  <dimension ref="A5"/>
  <sheetViews>
    <sheetView zoomScale="122" workbookViewId="0">
      <selection activeCell="A6" sqref="A6"/>
    </sheetView>
  </sheetViews>
  <sheetFormatPr baseColWidth="10" defaultRowHeight="14.4" x14ac:dyDescent="0.3"/>
  <sheetData>
    <row r="5" spans="1:1" x14ac:dyDescent="0.3">
      <c r="A5" s="187" t="s">
        <v>255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3E8B-6CC7-4D56-96E7-5BE6FE8C666A}">
  <dimension ref="B3:D7"/>
  <sheetViews>
    <sheetView topLeftCell="A42" workbookViewId="0">
      <selection activeCell="G52" sqref="G52"/>
    </sheetView>
  </sheetViews>
  <sheetFormatPr baseColWidth="10" defaultRowHeight="14.4" x14ac:dyDescent="0.3"/>
  <cols>
    <col min="2" max="2" width="15.109375" customWidth="1"/>
    <col min="4" max="4" width="5.77734375" customWidth="1"/>
  </cols>
  <sheetData>
    <row r="3" spans="2:4" ht="15" thickBot="1" x14ac:dyDescent="0.35"/>
    <row r="4" spans="2:4" ht="21.6" thickBot="1" x14ac:dyDescent="0.45">
      <c r="B4" s="481" t="s">
        <v>378</v>
      </c>
      <c r="C4" s="482"/>
      <c r="D4" s="483"/>
    </row>
    <row r="5" spans="2:4" x14ac:dyDescent="0.3">
      <c r="B5" s="212" t="s">
        <v>374</v>
      </c>
      <c r="C5" s="215"/>
      <c r="D5" s="9" t="s">
        <v>379</v>
      </c>
    </row>
    <row r="6" spans="2:4" x14ac:dyDescent="0.3">
      <c r="B6" s="211" t="s">
        <v>375</v>
      </c>
      <c r="C6" s="214"/>
      <c r="D6" s="213" t="s">
        <v>124</v>
      </c>
    </row>
    <row r="7" spans="2:4" x14ac:dyDescent="0.3">
      <c r="B7" s="211" t="s">
        <v>376</v>
      </c>
      <c r="C7" s="214">
        <f>(C5/100)*C6</f>
        <v>0</v>
      </c>
      <c r="D7" s="213" t="s">
        <v>377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864D-1A99-4A01-9204-717D5427E803}">
  <dimension ref="A1"/>
  <sheetViews>
    <sheetView zoomScale="67" workbookViewId="0">
      <selection activeCell="K6" sqref="K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9E635-C70D-4A4A-87E9-12FD2085C8AF}">
  <dimension ref="B3:W88"/>
  <sheetViews>
    <sheetView topLeftCell="A75" zoomScale="64" zoomScaleNormal="102" workbookViewId="0">
      <selection activeCell="X98" sqref="X98"/>
    </sheetView>
  </sheetViews>
  <sheetFormatPr baseColWidth="10" defaultRowHeight="14.4" x14ac:dyDescent="0.3"/>
  <cols>
    <col min="1" max="1" width="11.5546875" style="32"/>
    <col min="2" max="2" width="8.88671875" style="32" customWidth="1"/>
    <col min="3" max="5" width="8.21875" style="207" customWidth="1"/>
    <col min="6" max="7" width="10.21875" style="32" customWidth="1"/>
    <col min="8" max="8" width="11.88671875" style="32" customWidth="1"/>
    <col min="9" max="9" width="13.88671875" style="32" customWidth="1"/>
    <col min="10" max="10" width="11.5546875" style="32" customWidth="1"/>
    <col min="11" max="11" width="11.5546875" style="32"/>
    <col min="12" max="12" width="11.5546875" style="32" customWidth="1"/>
    <col min="13" max="13" width="15.109375" style="32" customWidth="1"/>
    <col min="14" max="14" width="17.109375" style="149" customWidth="1"/>
    <col min="15" max="15" width="11.5546875" style="32"/>
    <col min="16" max="16" width="3.6640625" style="148" customWidth="1"/>
    <col min="17" max="17" width="6.33203125" style="32" customWidth="1"/>
    <col min="18" max="18" width="15.5546875" style="32" customWidth="1"/>
    <col min="19" max="19" width="4.21875" style="32" customWidth="1"/>
    <col min="20" max="20" width="11.5546875" style="32"/>
    <col min="21" max="21" width="6.77734375" style="148" customWidth="1"/>
    <col min="22" max="22" width="7" style="32" customWidth="1"/>
    <col min="23" max="16384" width="11.5546875" style="32"/>
  </cols>
  <sheetData>
    <row r="3" spans="2:22" ht="15" thickBot="1" x14ac:dyDescent="0.35"/>
    <row r="4" spans="2:22" ht="18.600000000000001" customHeight="1" x14ac:dyDescent="0.3">
      <c r="B4" s="329" t="s">
        <v>407</v>
      </c>
      <c r="C4" s="330"/>
      <c r="D4" s="330"/>
      <c r="E4" s="330"/>
      <c r="F4" s="330"/>
      <c r="G4" s="330"/>
      <c r="H4" s="330"/>
      <c r="I4" s="331"/>
    </row>
    <row r="5" spans="2:22" ht="18.600000000000001" thickBot="1" x14ac:dyDescent="0.35">
      <c r="B5" s="332"/>
      <c r="C5" s="333"/>
      <c r="D5" s="333"/>
      <c r="E5" s="333"/>
      <c r="F5" s="333"/>
      <c r="G5" s="333"/>
      <c r="H5" s="333"/>
      <c r="I5" s="334"/>
      <c r="M5" s="221"/>
      <c r="N5" s="218"/>
      <c r="O5" s="218"/>
      <c r="P5" s="217"/>
      <c r="Q5" s="218"/>
      <c r="R5" s="221"/>
      <c r="S5" s="218"/>
      <c r="T5" s="218"/>
      <c r="U5" s="217"/>
      <c r="V5" s="218"/>
    </row>
    <row r="6" spans="2:22" x14ac:dyDescent="0.3">
      <c r="M6" s="218"/>
      <c r="N6" s="219"/>
      <c r="O6" s="218"/>
      <c r="P6" s="217"/>
      <c r="Q6" s="218"/>
      <c r="R6" s="218"/>
      <c r="S6" s="218"/>
      <c r="T6" s="218"/>
      <c r="U6" s="217"/>
      <c r="V6" s="218"/>
    </row>
    <row r="7" spans="2:22" ht="45" customHeight="1" thickBot="1" x14ac:dyDescent="0.35">
      <c r="B7" s="259" t="s">
        <v>402</v>
      </c>
      <c r="C7" s="260" t="s">
        <v>431</v>
      </c>
      <c r="D7" s="260" t="s">
        <v>403</v>
      </c>
      <c r="E7" s="260" t="s">
        <v>404</v>
      </c>
      <c r="F7" s="260" t="s">
        <v>432</v>
      </c>
      <c r="G7" s="260" t="s">
        <v>433</v>
      </c>
      <c r="H7" s="260" t="s">
        <v>405</v>
      </c>
      <c r="I7" s="260" t="s">
        <v>406</v>
      </c>
      <c r="J7" s="216"/>
      <c r="K7" s="216"/>
      <c r="M7" s="218"/>
      <c r="N7" s="218"/>
      <c r="O7" s="218"/>
      <c r="P7" s="217"/>
      <c r="Q7" s="218"/>
      <c r="R7" s="219"/>
      <c r="S7" s="218"/>
      <c r="T7" s="218"/>
      <c r="U7" s="217"/>
      <c r="V7" s="218"/>
    </row>
    <row r="8" spans="2:22" ht="15" thickTop="1" x14ac:dyDescent="0.3">
      <c r="B8" s="261"/>
      <c r="C8" s="262"/>
      <c r="D8" s="262"/>
      <c r="E8" s="262"/>
      <c r="F8" s="262"/>
      <c r="G8" s="262"/>
      <c r="H8" s="262"/>
      <c r="I8" s="262"/>
      <c r="M8" s="218"/>
      <c r="N8" s="218"/>
      <c r="O8" s="218"/>
      <c r="P8" s="217"/>
      <c r="Q8" s="218"/>
      <c r="R8" s="219"/>
      <c r="S8" s="218"/>
      <c r="T8" s="218"/>
      <c r="U8" s="217"/>
      <c r="V8" s="218"/>
    </row>
    <row r="9" spans="2:22" x14ac:dyDescent="0.3">
      <c r="B9" s="263" t="s">
        <v>380</v>
      </c>
      <c r="C9" s="264">
        <v>5.03</v>
      </c>
      <c r="D9" s="264"/>
      <c r="E9" s="264"/>
      <c r="F9" s="265">
        <f>D9*100</f>
        <v>0</v>
      </c>
      <c r="G9" s="265">
        <f>D9*E9*10</f>
        <v>0</v>
      </c>
      <c r="H9" s="264">
        <f t="shared" ref="H9:H30" si="0">F9*C9</f>
        <v>0</v>
      </c>
      <c r="I9" s="264">
        <f>G9*C9</f>
        <v>0</v>
      </c>
      <c r="M9" s="218"/>
      <c r="N9" s="218"/>
      <c r="O9" s="218"/>
      <c r="P9" s="217"/>
      <c r="Q9" s="218"/>
      <c r="R9" s="218"/>
      <c r="S9" s="218"/>
      <c r="T9" s="218"/>
      <c r="U9" s="217"/>
      <c r="V9" s="218"/>
    </row>
    <row r="10" spans="2:22" x14ac:dyDescent="0.3">
      <c r="B10" s="266" t="s">
        <v>381</v>
      </c>
      <c r="C10" s="267">
        <v>8.7799999999999994</v>
      </c>
      <c r="D10" s="267"/>
      <c r="E10" s="267"/>
      <c r="F10" s="268">
        <f t="shared" ref="F10:F30" si="1">D10*100</f>
        <v>0</v>
      </c>
      <c r="G10" s="268">
        <f t="shared" ref="G10:G30" si="2">D10*E10*10</f>
        <v>0</v>
      </c>
      <c r="H10" s="267">
        <f t="shared" si="0"/>
        <v>0</v>
      </c>
      <c r="I10" s="267">
        <f t="shared" ref="I10:I30" si="3">G10*C10</f>
        <v>0</v>
      </c>
      <c r="M10" s="218"/>
      <c r="N10" s="219"/>
      <c r="O10" s="218"/>
      <c r="P10" s="217"/>
      <c r="Q10" s="218"/>
      <c r="R10" s="218"/>
      <c r="S10" s="218"/>
      <c r="T10" s="218"/>
      <c r="U10" s="217"/>
      <c r="V10" s="218"/>
    </row>
    <row r="11" spans="2:22" x14ac:dyDescent="0.3">
      <c r="B11" s="263" t="s">
        <v>382</v>
      </c>
      <c r="C11" s="264">
        <v>14.2</v>
      </c>
      <c r="D11" s="264"/>
      <c r="E11" s="264"/>
      <c r="F11" s="265">
        <f t="shared" si="1"/>
        <v>0</v>
      </c>
      <c r="G11" s="265">
        <f t="shared" si="2"/>
        <v>0</v>
      </c>
      <c r="H11" s="264">
        <f t="shared" si="0"/>
        <v>0</v>
      </c>
      <c r="I11" s="264">
        <f t="shared" si="3"/>
        <v>0</v>
      </c>
      <c r="M11" s="218"/>
      <c r="N11" s="219"/>
      <c r="O11" s="218"/>
      <c r="P11" s="217"/>
      <c r="Q11" s="218"/>
      <c r="R11" s="218"/>
      <c r="S11" s="218"/>
      <c r="T11" s="218"/>
      <c r="U11" s="220"/>
      <c r="V11" s="218"/>
    </row>
    <row r="12" spans="2:22" x14ac:dyDescent="0.3">
      <c r="B12" s="266" t="s">
        <v>383</v>
      </c>
      <c r="C12" s="267">
        <v>20.100000000000001</v>
      </c>
      <c r="D12" s="267"/>
      <c r="E12" s="267"/>
      <c r="F12" s="268">
        <f t="shared" si="1"/>
        <v>0</v>
      </c>
      <c r="G12" s="268">
        <f t="shared" si="2"/>
        <v>0</v>
      </c>
      <c r="H12" s="267">
        <f t="shared" si="0"/>
        <v>0</v>
      </c>
      <c r="I12" s="267">
        <f t="shared" si="3"/>
        <v>0</v>
      </c>
      <c r="M12" s="218"/>
      <c r="N12" s="219"/>
      <c r="O12" s="218"/>
      <c r="P12" s="217"/>
      <c r="Q12" s="218"/>
      <c r="R12" s="218"/>
      <c r="S12" s="218"/>
      <c r="T12" s="218"/>
      <c r="U12" s="217"/>
      <c r="V12" s="218"/>
    </row>
    <row r="13" spans="2:22" x14ac:dyDescent="0.3">
      <c r="B13" s="263" t="s">
        <v>384</v>
      </c>
      <c r="C13" s="264">
        <v>36.6</v>
      </c>
      <c r="D13" s="264"/>
      <c r="E13" s="264"/>
      <c r="F13" s="265">
        <f t="shared" si="1"/>
        <v>0</v>
      </c>
      <c r="G13" s="265">
        <f t="shared" si="2"/>
        <v>0</v>
      </c>
      <c r="H13" s="264">
        <f t="shared" si="0"/>
        <v>0</v>
      </c>
      <c r="I13" s="264">
        <f t="shared" si="3"/>
        <v>0</v>
      </c>
      <c r="M13" s="218"/>
      <c r="N13" s="218"/>
      <c r="O13" s="218"/>
      <c r="P13" s="217"/>
      <c r="Q13" s="217"/>
      <c r="R13" s="218"/>
      <c r="S13" s="218"/>
      <c r="T13" s="218"/>
      <c r="U13" s="217"/>
      <c r="V13" s="218"/>
    </row>
    <row r="14" spans="2:22" x14ac:dyDescent="0.3">
      <c r="B14" s="266" t="s">
        <v>385</v>
      </c>
      <c r="C14" s="267">
        <v>58</v>
      </c>
      <c r="D14" s="267"/>
      <c r="E14" s="267"/>
      <c r="F14" s="268">
        <f t="shared" si="1"/>
        <v>0</v>
      </c>
      <c r="G14" s="268">
        <f t="shared" si="2"/>
        <v>0</v>
      </c>
      <c r="H14" s="267">
        <f t="shared" si="0"/>
        <v>0</v>
      </c>
      <c r="I14" s="267">
        <f t="shared" si="3"/>
        <v>0</v>
      </c>
      <c r="M14" s="218"/>
      <c r="N14" s="218"/>
      <c r="O14" s="218"/>
      <c r="P14" s="217"/>
      <c r="Q14" s="217"/>
      <c r="R14" s="218"/>
      <c r="S14" s="218"/>
      <c r="T14" s="218"/>
      <c r="U14" s="217"/>
      <c r="V14" s="218"/>
    </row>
    <row r="15" spans="2:22" x14ac:dyDescent="0.3">
      <c r="B15" s="263" t="s">
        <v>386</v>
      </c>
      <c r="C15" s="264">
        <v>84.3</v>
      </c>
      <c r="D15" s="264"/>
      <c r="E15" s="264"/>
      <c r="F15" s="265">
        <f t="shared" si="1"/>
        <v>0</v>
      </c>
      <c r="G15" s="265">
        <f t="shared" si="2"/>
        <v>0</v>
      </c>
      <c r="H15" s="264">
        <f t="shared" si="0"/>
        <v>0</v>
      </c>
      <c r="I15" s="264">
        <f t="shared" si="3"/>
        <v>0</v>
      </c>
    </row>
    <row r="16" spans="2:22" x14ac:dyDescent="0.3">
      <c r="B16" s="266" t="s">
        <v>387</v>
      </c>
      <c r="C16" s="267"/>
      <c r="D16" s="267"/>
      <c r="E16" s="267"/>
      <c r="F16" s="268">
        <f t="shared" si="1"/>
        <v>0</v>
      </c>
      <c r="G16" s="268">
        <f t="shared" si="2"/>
        <v>0</v>
      </c>
      <c r="H16" s="267">
        <f t="shared" si="0"/>
        <v>0</v>
      </c>
      <c r="I16" s="267">
        <f t="shared" si="3"/>
        <v>0</v>
      </c>
    </row>
    <row r="17" spans="2:9" x14ac:dyDescent="0.3">
      <c r="B17" s="263" t="s">
        <v>388</v>
      </c>
      <c r="C17" s="264">
        <v>157</v>
      </c>
      <c r="D17" s="264"/>
      <c r="E17" s="264"/>
      <c r="F17" s="265">
        <f t="shared" si="1"/>
        <v>0</v>
      </c>
      <c r="G17" s="265">
        <f t="shared" si="2"/>
        <v>0</v>
      </c>
      <c r="H17" s="264">
        <f t="shared" si="0"/>
        <v>0</v>
      </c>
      <c r="I17" s="264">
        <f t="shared" si="3"/>
        <v>0</v>
      </c>
    </row>
    <row r="18" spans="2:9" x14ac:dyDescent="0.3">
      <c r="B18" s="266" t="s">
        <v>389</v>
      </c>
      <c r="C18" s="267"/>
      <c r="D18" s="267"/>
      <c r="E18" s="267"/>
      <c r="F18" s="268">
        <f t="shared" si="1"/>
        <v>0</v>
      </c>
      <c r="G18" s="268">
        <f t="shared" si="2"/>
        <v>0</v>
      </c>
      <c r="H18" s="267">
        <f t="shared" si="0"/>
        <v>0</v>
      </c>
      <c r="I18" s="267">
        <f t="shared" si="3"/>
        <v>0</v>
      </c>
    </row>
    <row r="19" spans="2:9" x14ac:dyDescent="0.3">
      <c r="B19" s="263" t="s">
        <v>390</v>
      </c>
      <c r="C19" s="264">
        <v>245</v>
      </c>
      <c r="D19" s="264"/>
      <c r="E19" s="264"/>
      <c r="F19" s="265">
        <f t="shared" si="1"/>
        <v>0</v>
      </c>
      <c r="G19" s="265">
        <f t="shared" si="2"/>
        <v>0</v>
      </c>
      <c r="H19" s="264">
        <f t="shared" si="0"/>
        <v>0</v>
      </c>
      <c r="I19" s="264">
        <f t="shared" si="3"/>
        <v>0</v>
      </c>
    </row>
    <row r="20" spans="2:9" x14ac:dyDescent="0.3">
      <c r="B20" s="266" t="s">
        <v>391</v>
      </c>
      <c r="C20" s="267"/>
      <c r="D20" s="267"/>
      <c r="E20" s="267"/>
      <c r="F20" s="268">
        <f t="shared" si="1"/>
        <v>0</v>
      </c>
      <c r="G20" s="268">
        <f t="shared" si="2"/>
        <v>0</v>
      </c>
      <c r="H20" s="267">
        <f t="shared" si="0"/>
        <v>0</v>
      </c>
      <c r="I20" s="267">
        <f t="shared" si="3"/>
        <v>0</v>
      </c>
    </row>
    <row r="21" spans="2:9" x14ac:dyDescent="0.3">
      <c r="B21" s="263" t="s">
        <v>392</v>
      </c>
      <c r="C21" s="264">
        <v>353</v>
      </c>
      <c r="D21" s="264"/>
      <c r="E21" s="264"/>
      <c r="F21" s="265">
        <f t="shared" si="1"/>
        <v>0</v>
      </c>
      <c r="G21" s="265">
        <f t="shared" si="2"/>
        <v>0</v>
      </c>
      <c r="H21" s="264">
        <f t="shared" si="0"/>
        <v>0</v>
      </c>
      <c r="I21" s="264">
        <f t="shared" si="3"/>
        <v>0</v>
      </c>
    </row>
    <row r="22" spans="2:9" x14ac:dyDescent="0.3">
      <c r="B22" s="266" t="s">
        <v>393</v>
      </c>
      <c r="C22" s="267"/>
      <c r="D22" s="267"/>
      <c r="E22" s="267"/>
      <c r="F22" s="268">
        <f t="shared" si="1"/>
        <v>0</v>
      </c>
      <c r="G22" s="268">
        <f t="shared" si="2"/>
        <v>0</v>
      </c>
      <c r="H22" s="267">
        <f t="shared" si="0"/>
        <v>0</v>
      </c>
      <c r="I22" s="267">
        <f t="shared" si="3"/>
        <v>0</v>
      </c>
    </row>
    <row r="23" spans="2:9" x14ac:dyDescent="0.3">
      <c r="B23" s="263" t="s">
        <v>396</v>
      </c>
      <c r="C23" s="264">
        <v>459</v>
      </c>
      <c r="D23" s="264"/>
      <c r="E23" s="264"/>
      <c r="F23" s="265">
        <f t="shared" si="1"/>
        <v>0</v>
      </c>
      <c r="G23" s="265">
        <f t="shared" si="2"/>
        <v>0</v>
      </c>
      <c r="H23" s="264">
        <f t="shared" si="0"/>
        <v>0</v>
      </c>
      <c r="I23" s="264">
        <f t="shared" si="3"/>
        <v>0</v>
      </c>
    </row>
    <row r="24" spans="2:9" x14ac:dyDescent="0.3">
      <c r="B24" s="266" t="s">
        <v>394</v>
      </c>
      <c r="C24" s="267">
        <v>561</v>
      </c>
      <c r="D24" s="267"/>
      <c r="E24" s="267"/>
      <c r="F24" s="268">
        <f t="shared" si="1"/>
        <v>0</v>
      </c>
      <c r="G24" s="268">
        <f t="shared" si="2"/>
        <v>0</v>
      </c>
      <c r="H24" s="267">
        <f t="shared" si="0"/>
        <v>0</v>
      </c>
      <c r="I24" s="267">
        <f t="shared" si="3"/>
        <v>0</v>
      </c>
    </row>
    <row r="25" spans="2:9" x14ac:dyDescent="0.3">
      <c r="B25" s="263" t="s">
        <v>397</v>
      </c>
      <c r="C25" s="264">
        <v>694</v>
      </c>
      <c r="D25" s="264"/>
      <c r="E25" s="264"/>
      <c r="F25" s="265">
        <f t="shared" si="1"/>
        <v>0</v>
      </c>
      <c r="G25" s="265">
        <f t="shared" si="2"/>
        <v>0</v>
      </c>
      <c r="H25" s="264">
        <f t="shared" si="0"/>
        <v>0</v>
      </c>
      <c r="I25" s="264">
        <f t="shared" si="3"/>
        <v>0</v>
      </c>
    </row>
    <row r="26" spans="2:9" x14ac:dyDescent="0.3">
      <c r="B26" s="266" t="s">
        <v>395</v>
      </c>
      <c r="C26" s="267">
        <v>817</v>
      </c>
      <c r="D26" s="267"/>
      <c r="E26" s="267"/>
      <c r="F26" s="268">
        <f t="shared" si="1"/>
        <v>0</v>
      </c>
      <c r="G26" s="268">
        <f t="shared" si="2"/>
        <v>0</v>
      </c>
      <c r="H26" s="267">
        <f t="shared" si="0"/>
        <v>0</v>
      </c>
      <c r="I26" s="267">
        <f t="shared" si="3"/>
        <v>0</v>
      </c>
    </row>
    <row r="27" spans="2:9" x14ac:dyDescent="0.3">
      <c r="B27" s="263" t="s">
        <v>398</v>
      </c>
      <c r="C27" s="264">
        <v>1121</v>
      </c>
      <c r="D27" s="264"/>
      <c r="E27" s="264"/>
      <c r="F27" s="265">
        <f t="shared" si="1"/>
        <v>0</v>
      </c>
      <c r="G27" s="265">
        <f t="shared" si="2"/>
        <v>0</v>
      </c>
      <c r="H27" s="264">
        <f t="shared" si="0"/>
        <v>0</v>
      </c>
      <c r="I27" s="264">
        <f t="shared" si="3"/>
        <v>0</v>
      </c>
    </row>
    <row r="28" spans="2:9" x14ac:dyDescent="0.3">
      <c r="B28" s="266" t="s">
        <v>399</v>
      </c>
      <c r="C28" s="267">
        <v>1473</v>
      </c>
      <c r="D28" s="267"/>
      <c r="E28" s="267"/>
      <c r="F28" s="268">
        <f t="shared" si="1"/>
        <v>0</v>
      </c>
      <c r="G28" s="268">
        <f t="shared" si="2"/>
        <v>0</v>
      </c>
      <c r="H28" s="267">
        <f t="shared" si="0"/>
        <v>0</v>
      </c>
      <c r="I28" s="267">
        <f t="shared" si="3"/>
        <v>0</v>
      </c>
    </row>
    <row r="29" spans="2:9" x14ac:dyDescent="0.3">
      <c r="B29" s="263" t="s">
        <v>400</v>
      </c>
      <c r="C29" s="264">
        <v>2030</v>
      </c>
      <c r="D29" s="264"/>
      <c r="E29" s="264"/>
      <c r="F29" s="265">
        <f t="shared" si="1"/>
        <v>0</v>
      </c>
      <c r="G29" s="265">
        <f t="shared" si="2"/>
        <v>0</v>
      </c>
      <c r="H29" s="264">
        <f t="shared" si="0"/>
        <v>0</v>
      </c>
      <c r="I29" s="264">
        <f t="shared" si="3"/>
        <v>0</v>
      </c>
    </row>
    <row r="30" spans="2:9" x14ac:dyDescent="0.3">
      <c r="B30" s="266" t="s">
        <v>401</v>
      </c>
      <c r="C30" s="267">
        <v>2675</v>
      </c>
      <c r="D30" s="267"/>
      <c r="E30" s="267"/>
      <c r="F30" s="268">
        <f t="shared" si="1"/>
        <v>0</v>
      </c>
      <c r="G30" s="268">
        <f t="shared" si="2"/>
        <v>0</v>
      </c>
      <c r="H30" s="267">
        <f t="shared" si="0"/>
        <v>0</v>
      </c>
      <c r="I30" s="267">
        <f t="shared" si="3"/>
        <v>0</v>
      </c>
    </row>
    <row r="33" spans="2:23" x14ac:dyDescent="0.3">
      <c r="W33" s="32" t="s">
        <v>347</v>
      </c>
    </row>
    <row r="35" spans="2:23" ht="15" thickBot="1" x14ac:dyDescent="0.35"/>
    <row r="36" spans="2:23" ht="14.4" customHeight="1" x14ac:dyDescent="0.3">
      <c r="B36" s="323" t="s">
        <v>434</v>
      </c>
      <c r="C36" s="324"/>
      <c r="D36" s="324"/>
      <c r="E36" s="324"/>
      <c r="F36" s="324"/>
      <c r="G36" s="324"/>
      <c r="H36" s="324"/>
      <c r="I36" s="324"/>
      <c r="J36" s="325"/>
    </row>
    <row r="37" spans="2:23" ht="15" customHeight="1" thickBot="1" x14ac:dyDescent="0.35">
      <c r="B37" s="326"/>
      <c r="C37" s="327"/>
      <c r="D37" s="327"/>
      <c r="E37" s="327"/>
      <c r="F37" s="327"/>
      <c r="G37" s="327"/>
      <c r="H37" s="327"/>
      <c r="I37" s="327"/>
      <c r="J37" s="328"/>
    </row>
    <row r="38" spans="2:23" ht="15" thickBot="1" x14ac:dyDescent="0.35"/>
    <row r="39" spans="2:23" ht="45" thickBot="1" x14ac:dyDescent="0.35">
      <c r="B39" s="269" t="s">
        <v>402</v>
      </c>
      <c r="C39" s="270" t="s">
        <v>408</v>
      </c>
      <c r="D39" s="270" t="s">
        <v>431</v>
      </c>
      <c r="E39" s="270" t="s">
        <v>403</v>
      </c>
      <c r="F39" s="270" t="s">
        <v>404</v>
      </c>
      <c r="G39" s="270" t="s">
        <v>432</v>
      </c>
      <c r="H39" s="270" t="s">
        <v>433</v>
      </c>
      <c r="I39" s="270" t="s">
        <v>405</v>
      </c>
      <c r="J39" s="271" t="s">
        <v>406</v>
      </c>
      <c r="N39" s="32"/>
      <c r="O39" s="149"/>
      <c r="P39" s="32"/>
      <c r="Q39" s="148"/>
      <c r="U39" s="32"/>
      <c r="V39" s="148"/>
    </row>
    <row r="40" spans="2:23" ht="15" thickTop="1" x14ac:dyDescent="0.3">
      <c r="B40" s="272"/>
      <c r="C40" s="262"/>
      <c r="D40" s="262"/>
      <c r="E40" s="262"/>
      <c r="F40" s="262"/>
      <c r="G40" s="262"/>
      <c r="H40" s="262"/>
      <c r="I40" s="262"/>
      <c r="J40" s="273"/>
      <c r="N40" s="32"/>
      <c r="O40" s="149"/>
      <c r="P40" s="32"/>
      <c r="Q40" s="148"/>
      <c r="U40" s="32"/>
      <c r="V40" s="148"/>
    </row>
    <row r="41" spans="2:23" x14ac:dyDescent="0.3">
      <c r="B41" s="274" t="s">
        <v>381</v>
      </c>
      <c r="C41" s="264">
        <v>0.5</v>
      </c>
      <c r="D41" s="264">
        <v>9.7899999999999991</v>
      </c>
      <c r="E41" s="264"/>
      <c r="F41" s="264"/>
      <c r="G41" s="265">
        <f t="shared" ref="G41:G55" si="4">E41*100</f>
        <v>0</v>
      </c>
      <c r="H41" s="265">
        <f t="shared" ref="H41:H55" si="5">E41*F41*10</f>
        <v>0</v>
      </c>
      <c r="I41" s="264">
        <f t="shared" ref="I41:I59" si="6">G41*D41</f>
        <v>0</v>
      </c>
      <c r="J41" s="275">
        <f t="shared" ref="J41:J55" si="7">H41*D41</f>
        <v>0</v>
      </c>
      <c r="N41" s="32"/>
      <c r="O41" s="149"/>
      <c r="P41" s="32"/>
      <c r="Q41" s="148"/>
      <c r="U41" s="32"/>
      <c r="V41" s="148"/>
    </row>
    <row r="42" spans="2:23" x14ac:dyDescent="0.3">
      <c r="B42" s="276" t="s">
        <v>382</v>
      </c>
      <c r="C42" s="267">
        <v>0.5</v>
      </c>
      <c r="D42" s="267">
        <v>16.100000000000001</v>
      </c>
      <c r="E42" s="267"/>
      <c r="F42" s="267"/>
      <c r="G42" s="268">
        <f t="shared" si="4"/>
        <v>0</v>
      </c>
      <c r="H42" s="268">
        <f t="shared" si="5"/>
        <v>0</v>
      </c>
      <c r="I42" s="267">
        <f t="shared" si="6"/>
        <v>0</v>
      </c>
      <c r="J42" s="277">
        <f t="shared" si="7"/>
        <v>0</v>
      </c>
      <c r="N42" s="32"/>
      <c r="O42" s="149"/>
      <c r="P42" s="32"/>
      <c r="Q42" s="148"/>
      <c r="U42" s="32"/>
      <c r="V42" s="148"/>
    </row>
    <row r="43" spans="2:23" x14ac:dyDescent="0.3">
      <c r="B43" s="274" t="s">
        <v>383</v>
      </c>
      <c r="C43" s="264">
        <v>0.75</v>
      </c>
      <c r="D43" s="264">
        <v>22</v>
      </c>
      <c r="E43" s="264"/>
      <c r="F43" s="264"/>
      <c r="G43" s="265">
        <f t="shared" si="4"/>
        <v>0</v>
      </c>
      <c r="H43" s="265">
        <f t="shared" si="5"/>
        <v>0</v>
      </c>
      <c r="I43" s="264">
        <f t="shared" si="6"/>
        <v>0</v>
      </c>
      <c r="J43" s="275">
        <f t="shared" si="7"/>
        <v>0</v>
      </c>
      <c r="N43" s="32"/>
      <c r="O43" s="149"/>
      <c r="P43" s="32"/>
      <c r="Q43" s="148"/>
      <c r="U43" s="32"/>
      <c r="V43" s="148"/>
    </row>
    <row r="44" spans="2:23" x14ac:dyDescent="0.3">
      <c r="B44" s="276" t="s">
        <v>384</v>
      </c>
      <c r="C44" s="267">
        <v>1</v>
      </c>
      <c r="D44" s="267">
        <v>39.200000000000003</v>
      </c>
      <c r="E44" s="267"/>
      <c r="F44" s="267"/>
      <c r="G44" s="268">
        <f t="shared" si="4"/>
        <v>0</v>
      </c>
      <c r="H44" s="268">
        <f t="shared" si="5"/>
        <v>0</v>
      </c>
      <c r="I44" s="267">
        <f t="shared" si="6"/>
        <v>0</v>
      </c>
      <c r="J44" s="277">
        <f t="shared" si="7"/>
        <v>0</v>
      </c>
      <c r="N44" s="32"/>
      <c r="O44" s="149"/>
      <c r="P44" s="32"/>
      <c r="Q44" s="148"/>
      <c r="U44" s="32"/>
      <c r="V44" s="148"/>
    </row>
    <row r="45" spans="2:23" x14ac:dyDescent="0.3">
      <c r="B45" s="274" t="s">
        <v>385</v>
      </c>
      <c r="C45" s="264">
        <v>1.25</v>
      </c>
      <c r="D45" s="264">
        <v>61.2</v>
      </c>
      <c r="E45" s="264"/>
      <c r="F45" s="264"/>
      <c r="G45" s="265">
        <f t="shared" si="4"/>
        <v>0</v>
      </c>
      <c r="H45" s="265">
        <f t="shared" si="5"/>
        <v>0</v>
      </c>
      <c r="I45" s="264">
        <f t="shared" si="6"/>
        <v>0</v>
      </c>
      <c r="J45" s="275">
        <f t="shared" si="7"/>
        <v>0</v>
      </c>
      <c r="N45" s="32"/>
      <c r="O45" s="149"/>
      <c r="P45" s="32"/>
      <c r="Q45" s="148"/>
      <c r="U45" s="32"/>
      <c r="V45" s="148"/>
    </row>
    <row r="46" spans="2:23" x14ac:dyDescent="0.3">
      <c r="B46" s="276" t="s">
        <v>386</v>
      </c>
      <c r="C46" s="267">
        <v>1.5</v>
      </c>
      <c r="D46" s="267">
        <v>88.1</v>
      </c>
      <c r="E46" s="267"/>
      <c r="F46" s="267"/>
      <c r="G46" s="268">
        <f t="shared" si="4"/>
        <v>0</v>
      </c>
      <c r="H46" s="268">
        <f t="shared" si="5"/>
        <v>0</v>
      </c>
      <c r="I46" s="267">
        <f t="shared" si="6"/>
        <v>0</v>
      </c>
      <c r="J46" s="277">
        <f t="shared" si="7"/>
        <v>0</v>
      </c>
      <c r="N46" s="32"/>
      <c r="O46" s="149"/>
      <c r="P46" s="32"/>
      <c r="Q46" s="148"/>
      <c r="U46" s="32"/>
      <c r="V46" s="148"/>
    </row>
    <row r="47" spans="2:23" x14ac:dyDescent="0.3">
      <c r="B47" s="274" t="s">
        <v>388</v>
      </c>
      <c r="C47" s="264">
        <v>1.5</v>
      </c>
      <c r="D47" s="264">
        <v>167</v>
      </c>
      <c r="E47" s="264"/>
      <c r="F47" s="264"/>
      <c r="G47" s="265">
        <f t="shared" si="4"/>
        <v>0</v>
      </c>
      <c r="H47" s="265">
        <f t="shared" si="5"/>
        <v>0</v>
      </c>
      <c r="I47" s="264">
        <f t="shared" si="6"/>
        <v>0</v>
      </c>
      <c r="J47" s="275">
        <f t="shared" si="7"/>
        <v>0</v>
      </c>
      <c r="N47" s="32"/>
      <c r="O47" s="149"/>
      <c r="P47" s="32"/>
      <c r="Q47" s="148"/>
      <c r="U47" s="32"/>
      <c r="V47" s="148"/>
    </row>
    <row r="48" spans="2:23" x14ac:dyDescent="0.3">
      <c r="B48" s="276" t="s">
        <v>390</v>
      </c>
      <c r="C48" s="267">
        <v>1.5</v>
      </c>
      <c r="D48" s="267">
        <v>272</v>
      </c>
      <c r="E48" s="267"/>
      <c r="F48" s="267"/>
      <c r="G48" s="268">
        <f t="shared" si="4"/>
        <v>0</v>
      </c>
      <c r="H48" s="268">
        <f t="shared" si="5"/>
        <v>0</v>
      </c>
      <c r="I48" s="267">
        <f t="shared" si="6"/>
        <v>0</v>
      </c>
      <c r="J48" s="277">
        <f t="shared" si="7"/>
        <v>0</v>
      </c>
      <c r="N48" s="32"/>
      <c r="O48" s="149"/>
      <c r="P48" s="32"/>
      <c r="Q48" s="148"/>
      <c r="U48" s="32"/>
      <c r="V48" s="148"/>
    </row>
    <row r="49" spans="2:22" x14ac:dyDescent="0.3">
      <c r="B49" s="274" t="s">
        <v>392</v>
      </c>
      <c r="C49" s="264">
        <v>2</v>
      </c>
      <c r="D49" s="264">
        <v>384</v>
      </c>
      <c r="E49" s="264"/>
      <c r="F49" s="264"/>
      <c r="G49" s="265">
        <f t="shared" si="4"/>
        <v>0</v>
      </c>
      <c r="H49" s="265">
        <f t="shared" si="5"/>
        <v>0</v>
      </c>
      <c r="I49" s="264">
        <f t="shared" si="6"/>
        <v>0</v>
      </c>
      <c r="J49" s="275">
        <f t="shared" si="7"/>
        <v>0</v>
      </c>
      <c r="N49" s="32"/>
      <c r="O49" s="149"/>
      <c r="P49" s="32"/>
      <c r="Q49" s="148"/>
      <c r="U49" s="32"/>
      <c r="V49" s="148"/>
    </row>
    <row r="50" spans="2:22" x14ac:dyDescent="0.3">
      <c r="B50" s="276" t="s">
        <v>394</v>
      </c>
      <c r="C50" s="267">
        <v>2</v>
      </c>
      <c r="D50" s="267">
        <v>621</v>
      </c>
      <c r="E50" s="267"/>
      <c r="F50" s="267"/>
      <c r="G50" s="268">
        <f t="shared" si="4"/>
        <v>0</v>
      </c>
      <c r="H50" s="268">
        <f t="shared" si="5"/>
        <v>0</v>
      </c>
      <c r="I50" s="267">
        <f t="shared" si="6"/>
        <v>0</v>
      </c>
      <c r="J50" s="277">
        <f t="shared" si="7"/>
        <v>0</v>
      </c>
      <c r="N50" s="32"/>
      <c r="O50" s="149"/>
      <c r="P50" s="32"/>
      <c r="Q50" s="148"/>
      <c r="U50" s="32"/>
      <c r="V50" s="148"/>
    </row>
    <row r="51" spans="2:22" x14ac:dyDescent="0.3">
      <c r="B51" s="274" t="s">
        <v>395</v>
      </c>
      <c r="C51" s="264">
        <v>3</v>
      </c>
      <c r="D51" s="264">
        <v>865</v>
      </c>
      <c r="E51" s="264"/>
      <c r="F51" s="264"/>
      <c r="G51" s="265">
        <f t="shared" si="4"/>
        <v>0</v>
      </c>
      <c r="H51" s="265">
        <f t="shared" si="5"/>
        <v>0</v>
      </c>
      <c r="I51" s="264">
        <f t="shared" si="6"/>
        <v>0</v>
      </c>
      <c r="J51" s="275">
        <f t="shared" si="7"/>
        <v>0</v>
      </c>
      <c r="N51" s="32"/>
      <c r="O51" s="149"/>
      <c r="P51" s="32"/>
      <c r="Q51" s="148"/>
      <c r="U51" s="32"/>
      <c r="V51" s="148"/>
    </row>
    <row r="52" spans="2:22" x14ac:dyDescent="0.3">
      <c r="B52" s="276" t="s">
        <v>398</v>
      </c>
      <c r="C52" s="267">
        <v>3</v>
      </c>
      <c r="D52" s="267">
        <v>1206</v>
      </c>
      <c r="E52" s="267"/>
      <c r="F52" s="267"/>
      <c r="G52" s="268">
        <f t="shared" si="4"/>
        <v>0</v>
      </c>
      <c r="H52" s="268">
        <f t="shared" si="5"/>
        <v>0</v>
      </c>
      <c r="I52" s="267">
        <f t="shared" si="6"/>
        <v>0</v>
      </c>
      <c r="J52" s="277">
        <f t="shared" si="7"/>
        <v>0</v>
      </c>
      <c r="N52" s="32"/>
      <c r="O52" s="149"/>
      <c r="P52" s="32"/>
      <c r="Q52" s="148"/>
      <c r="U52" s="32"/>
      <c r="V52" s="148"/>
    </row>
    <row r="53" spans="2:22" x14ac:dyDescent="0.3">
      <c r="B53" s="274" t="s">
        <v>399</v>
      </c>
      <c r="C53" s="264">
        <v>3</v>
      </c>
      <c r="D53" s="264">
        <v>1604</v>
      </c>
      <c r="E53" s="264"/>
      <c r="F53" s="264"/>
      <c r="G53" s="265">
        <f t="shared" si="4"/>
        <v>0</v>
      </c>
      <c r="H53" s="265">
        <f t="shared" si="5"/>
        <v>0</v>
      </c>
      <c r="I53" s="264">
        <f t="shared" si="6"/>
        <v>0</v>
      </c>
      <c r="J53" s="275">
        <f t="shared" si="7"/>
        <v>0</v>
      </c>
      <c r="N53" s="32"/>
      <c r="O53" s="149"/>
      <c r="P53" s="32"/>
      <c r="Q53" s="148"/>
      <c r="U53" s="32"/>
      <c r="V53" s="148"/>
    </row>
    <row r="54" spans="2:22" x14ac:dyDescent="0.3">
      <c r="B54" s="276" t="s">
        <v>400</v>
      </c>
      <c r="C54" s="267">
        <v>4</v>
      </c>
      <c r="D54" s="267">
        <v>2144</v>
      </c>
      <c r="E54" s="267"/>
      <c r="F54" s="267"/>
      <c r="G54" s="268">
        <f t="shared" si="4"/>
        <v>0</v>
      </c>
      <c r="H54" s="268">
        <f t="shared" si="5"/>
        <v>0</v>
      </c>
      <c r="I54" s="267">
        <f t="shared" si="6"/>
        <v>0</v>
      </c>
      <c r="J54" s="277">
        <f t="shared" si="7"/>
        <v>0</v>
      </c>
      <c r="N54" s="32"/>
      <c r="O54" s="149"/>
      <c r="P54" s="32"/>
      <c r="Q54" s="148"/>
      <c r="U54" s="32"/>
      <c r="V54" s="148"/>
    </row>
    <row r="55" spans="2:22" x14ac:dyDescent="0.3">
      <c r="B55" s="274" t="s">
        <v>401</v>
      </c>
      <c r="C55" s="264">
        <v>4</v>
      </c>
      <c r="D55" s="264">
        <v>2851</v>
      </c>
      <c r="E55" s="264"/>
      <c r="F55" s="264"/>
      <c r="G55" s="265">
        <f t="shared" si="4"/>
        <v>0</v>
      </c>
      <c r="H55" s="265">
        <f t="shared" si="5"/>
        <v>0</v>
      </c>
      <c r="I55" s="264">
        <f t="shared" si="6"/>
        <v>0</v>
      </c>
      <c r="J55" s="275">
        <f t="shared" si="7"/>
        <v>0</v>
      </c>
      <c r="N55" s="32"/>
      <c r="O55" s="149"/>
      <c r="P55" s="32"/>
      <c r="Q55" s="148"/>
      <c r="U55" s="32"/>
      <c r="V55" s="148"/>
    </row>
    <row r="56" spans="2:22" x14ac:dyDescent="0.3">
      <c r="B56" s="276" t="s">
        <v>412</v>
      </c>
      <c r="C56" s="267">
        <v>4</v>
      </c>
      <c r="D56" s="267">
        <v>3658</v>
      </c>
      <c r="E56" s="267"/>
      <c r="F56" s="267"/>
      <c r="G56" s="268">
        <f>E56*100</f>
        <v>0</v>
      </c>
      <c r="H56" s="268">
        <f>E56*F56*10</f>
        <v>0</v>
      </c>
      <c r="I56" s="267">
        <f t="shared" si="6"/>
        <v>0</v>
      </c>
      <c r="J56" s="277">
        <f>H56*D56</f>
        <v>0</v>
      </c>
    </row>
    <row r="57" spans="2:22" x14ac:dyDescent="0.3">
      <c r="B57" s="274" t="s">
        <v>411</v>
      </c>
      <c r="C57" s="264">
        <v>4</v>
      </c>
      <c r="D57" s="264">
        <v>4566</v>
      </c>
      <c r="E57" s="264"/>
      <c r="F57" s="264"/>
      <c r="G57" s="265">
        <f>E57*100</f>
        <v>0</v>
      </c>
      <c r="H57" s="265">
        <f>E57*F57*10</f>
        <v>0</v>
      </c>
      <c r="I57" s="264">
        <f t="shared" si="6"/>
        <v>0</v>
      </c>
      <c r="J57" s="275">
        <f>H57*D57</f>
        <v>0</v>
      </c>
    </row>
    <row r="58" spans="2:22" x14ac:dyDescent="0.3">
      <c r="B58" s="276" t="s">
        <v>410</v>
      </c>
      <c r="C58" s="267">
        <v>4</v>
      </c>
      <c r="D58" s="267">
        <v>5840</v>
      </c>
      <c r="E58" s="267"/>
      <c r="F58" s="267"/>
      <c r="G58" s="268">
        <f>E58*100</f>
        <v>0</v>
      </c>
      <c r="H58" s="268">
        <f>E58*F58*10</f>
        <v>0</v>
      </c>
      <c r="I58" s="267">
        <f t="shared" si="6"/>
        <v>0</v>
      </c>
      <c r="J58" s="277">
        <f>H58*D58</f>
        <v>0</v>
      </c>
    </row>
    <row r="59" spans="2:22" ht="15" thickBot="1" x14ac:dyDescent="0.35">
      <c r="B59" s="278" t="s">
        <v>409</v>
      </c>
      <c r="C59" s="279">
        <v>4</v>
      </c>
      <c r="D59" s="279">
        <v>7280</v>
      </c>
      <c r="E59" s="279"/>
      <c r="F59" s="279"/>
      <c r="G59" s="280">
        <f>E59*100</f>
        <v>0</v>
      </c>
      <c r="H59" s="280">
        <f>E59*F59*10</f>
        <v>0</v>
      </c>
      <c r="I59" s="279">
        <f t="shared" si="6"/>
        <v>0</v>
      </c>
      <c r="J59" s="281">
        <f>H59*D59</f>
        <v>0</v>
      </c>
    </row>
    <row r="88" spans="15:15" ht="61.2" x14ac:dyDescent="0.3">
      <c r="O88" s="225" t="s">
        <v>413</v>
      </c>
    </row>
  </sheetData>
  <mergeCells count="2">
    <mergeCell ref="B36:J37"/>
    <mergeCell ref="B4:I5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66BE-7A83-46C0-881E-6A92929DF081}">
  <dimension ref="B4:I19"/>
  <sheetViews>
    <sheetView topLeftCell="B3" zoomScale="88" workbookViewId="0">
      <selection activeCell="D12" sqref="D12"/>
    </sheetView>
  </sheetViews>
  <sheetFormatPr baseColWidth="10" defaultRowHeight="14.4" x14ac:dyDescent="0.3"/>
  <cols>
    <col min="3" max="3" width="5" customWidth="1"/>
    <col min="5" max="5" width="11.5546875" customWidth="1"/>
  </cols>
  <sheetData>
    <row r="4" spans="2:9" ht="15" thickBot="1" x14ac:dyDescent="0.35"/>
    <row r="5" spans="2:9" ht="21.6" thickBot="1" x14ac:dyDescent="0.45">
      <c r="B5" s="335" t="s">
        <v>417</v>
      </c>
      <c r="C5" s="336"/>
      <c r="D5" s="336"/>
      <c r="E5" s="336"/>
      <c r="F5" s="336"/>
      <c r="G5" s="336"/>
      <c r="H5" s="336"/>
      <c r="I5" s="337"/>
    </row>
    <row r="6" spans="2:9" x14ac:dyDescent="0.3">
      <c r="B6" s="168" t="s">
        <v>0</v>
      </c>
      <c r="C6" s="239" t="s">
        <v>418</v>
      </c>
      <c r="D6" s="161"/>
      <c r="E6" s="242" t="s">
        <v>423</v>
      </c>
      <c r="F6" s="159" t="e">
        <f>D8/D9</f>
        <v>#DIV/0!</v>
      </c>
      <c r="G6" s="159" t="e">
        <f>D7*D13/D9</f>
        <v>#DIV/0!</v>
      </c>
      <c r="H6" s="159">
        <f>D7*D10</f>
        <v>0</v>
      </c>
      <c r="I6" s="159">
        <f>D11*D12/9550</f>
        <v>0</v>
      </c>
    </row>
    <row r="7" spans="2:9" x14ac:dyDescent="0.3">
      <c r="B7" s="150" t="s">
        <v>4</v>
      </c>
      <c r="C7" s="226" t="s">
        <v>424</v>
      </c>
      <c r="D7" s="128"/>
      <c r="E7" s="241" t="s">
        <v>7</v>
      </c>
      <c r="F7" s="156" t="e">
        <f>D6*D9/D13</f>
        <v>#DIV/0!</v>
      </c>
      <c r="G7" s="156" t="e">
        <f>D6/D10</f>
        <v>#DIV/0!</v>
      </c>
    </row>
    <row r="8" spans="2:9" x14ac:dyDescent="0.3">
      <c r="B8" s="150" t="s">
        <v>419</v>
      </c>
      <c r="C8" s="226" t="s">
        <v>10</v>
      </c>
      <c r="D8" s="128"/>
      <c r="E8" s="241" t="s">
        <v>425</v>
      </c>
      <c r="F8" s="156">
        <f>D6*D9</f>
        <v>0</v>
      </c>
      <c r="G8" s="180"/>
    </row>
    <row r="9" spans="2:9" x14ac:dyDescent="0.3">
      <c r="B9" s="150" t="s">
        <v>8</v>
      </c>
      <c r="C9" s="226" t="s">
        <v>426</v>
      </c>
      <c r="D9" s="164"/>
      <c r="E9" s="241" t="s">
        <v>9</v>
      </c>
      <c r="F9" s="163" t="e">
        <f>D8/D6</f>
        <v>#DIV/0!</v>
      </c>
      <c r="G9" s="156" t="e">
        <f>D8*D13/D6</f>
        <v>#DIV/0!</v>
      </c>
    </row>
    <row r="10" spans="2:9" x14ac:dyDescent="0.3">
      <c r="B10" s="150" t="s">
        <v>18</v>
      </c>
      <c r="C10" s="226" t="s">
        <v>427</v>
      </c>
      <c r="D10" s="164"/>
      <c r="E10" s="241" t="s">
        <v>19</v>
      </c>
      <c r="F10" s="156" t="e">
        <f>D6/D7</f>
        <v>#DIV/0!</v>
      </c>
    </row>
    <row r="11" spans="2:9" x14ac:dyDescent="0.3">
      <c r="B11" s="150" t="s">
        <v>64</v>
      </c>
      <c r="C11" s="226" t="s">
        <v>428</v>
      </c>
      <c r="D11" s="164"/>
      <c r="E11" s="241" t="s">
        <v>65</v>
      </c>
      <c r="F11" s="156" t="e">
        <f>D6*9550/D12</f>
        <v>#DIV/0!</v>
      </c>
    </row>
    <row r="12" spans="2:9" x14ac:dyDescent="0.3">
      <c r="B12" s="150" t="s">
        <v>66</v>
      </c>
      <c r="C12" s="226" t="s">
        <v>429</v>
      </c>
      <c r="D12" s="164"/>
      <c r="E12" s="241" t="s">
        <v>254</v>
      </c>
      <c r="F12" s="156" t="e">
        <f>D6*9550/D11</f>
        <v>#DIV/0!</v>
      </c>
    </row>
    <row r="13" spans="2:9" x14ac:dyDescent="0.3">
      <c r="B13" s="150" t="s">
        <v>420</v>
      </c>
      <c r="C13" s="226" t="s">
        <v>347</v>
      </c>
      <c r="D13" s="164"/>
      <c r="E13" s="241" t="s">
        <v>19</v>
      </c>
      <c r="F13" s="156" t="e">
        <f>D6*D9/D7</f>
        <v>#DIV/0!</v>
      </c>
    </row>
    <row r="14" spans="2:9" ht="15" thickBot="1" x14ac:dyDescent="0.35"/>
    <row r="15" spans="2:9" ht="21.6" thickBot="1" x14ac:dyDescent="0.45">
      <c r="B15" s="338" t="s">
        <v>430</v>
      </c>
      <c r="C15" s="339"/>
      <c r="D15" s="339"/>
      <c r="E15" s="339"/>
      <c r="F15" s="340"/>
    </row>
    <row r="16" spans="2:9" x14ac:dyDescent="0.3">
      <c r="B16" s="18"/>
      <c r="C16" s="244"/>
      <c r="D16" s="212" t="s">
        <v>10</v>
      </c>
      <c r="E16" s="243" t="s">
        <v>421</v>
      </c>
      <c r="F16" s="243" t="s">
        <v>422</v>
      </c>
      <c r="H16" s="235"/>
    </row>
    <row r="17" spans="2:6" x14ac:dyDescent="0.3">
      <c r="B17" s="177">
        <v>1</v>
      </c>
      <c r="C17" s="211" t="s">
        <v>10</v>
      </c>
      <c r="D17" s="240" t="s">
        <v>109</v>
      </c>
      <c r="E17" s="146">
        <f>B17</f>
        <v>1</v>
      </c>
      <c r="F17" s="146">
        <f>B17</f>
        <v>1</v>
      </c>
    </row>
    <row r="18" spans="2:6" x14ac:dyDescent="0.3">
      <c r="B18" s="177"/>
      <c r="C18" s="211" t="s">
        <v>421</v>
      </c>
      <c r="D18" s="146">
        <f>B18</f>
        <v>0</v>
      </c>
      <c r="E18" s="240" t="s">
        <v>109</v>
      </c>
      <c r="F18" s="146">
        <f>B18</f>
        <v>0</v>
      </c>
    </row>
    <row r="19" spans="2:6" x14ac:dyDescent="0.3">
      <c r="B19" s="177"/>
      <c r="C19" s="211" t="s">
        <v>422</v>
      </c>
      <c r="D19" s="146">
        <f>B19</f>
        <v>0</v>
      </c>
      <c r="E19" s="146">
        <f>B19</f>
        <v>0</v>
      </c>
      <c r="F19" s="240" t="s">
        <v>109</v>
      </c>
    </row>
  </sheetData>
  <mergeCells count="2">
    <mergeCell ref="B5:I5"/>
    <mergeCell ref="B15:F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399C-E182-4F92-9F45-A2F43132F37B}">
  <dimension ref="D8:J213"/>
  <sheetViews>
    <sheetView topLeftCell="A84" zoomScale="84" workbookViewId="0">
      <selection activeCell="H95" sqref="H95"/>
    </sheetView>
  </sheetViews>
  <sheetFormatPr baseColWidth="10" defaultRowHeight="14.4" x14ac:dyDescent="0.3"/>
  <cols>
    <col min="4" max="4" width="13.88671875" customWidth="1"/>
    <col min="5" max="5" width="14.77734375" customWidth="1"/>
  </cols>
  <sheetData>
    <row r="8" spans="4:8" ht="21" x14ac:dyDescent="0.4">
      <c r="D8" s="341" t="s">
        <v>129</v>
      </c>
      <c r="E8" s="341"/>
      <c r="F8" s="341"/>
    </row>
    <row r="9" spans="4:8" x14ac:dyDescent="0.3">
      <c r="D9" s="150" t="s">
        <v>108</v>
      </c>
      <c r="E9" s="151"/>
      <c r="F9" s="156">
        <f>E12/1.414</f>
        <v>0</v>
      </c>
      <c r="G9" s="156">
        <f>E11/4</f>
        <v>0</v>
      </c>
      <c r="H9" s="156">
        <f>SQRT(E10)</f>
        <v>0</v>
      </c>
    </row>
    <row r="10" spans="4:8" x14ac:dyDescent="0.3">
      <c r="D10" s="150" t="s">
        <v>5</v>
      </c>
      <c r="E10" s="151"/>
      <c r="F10" s="156">
        <f>E9^2</f>
        <v>0</v>
      </c>
    </row>
    <row r="11" spans="4:8" x14ac:dyDescent="0.3">
      <c r="D11" s="150" t="s">
        <v>127</v>
      </c>
      <c r="E11" s="151"/>
      <c r="F11" s="156">
        <f>E9*4</f>
        <v>0</v>
      </c>
    </row>
    <row r="12" spans="4:8" x14ac:dyDescent="0.3">
      <c r="D12" s="150" t="s">
        <v>128</v>
      </c>
      <c r="E12" s="151"/>
      <c r="F12" s="156">
        <f>E9*1.414</f>
        <v>0</v>
      </c>
    </row>
    <row r="19" spans="4:7" ht="21" x14ac:dyDescent="0.4">
      <c r="D19" s="341" t="s">
        <v>130</v>
      </c>
      <c r="E19" s="341"/>
      <c r="F19" s="341"/>
      <c r="G19" s="341"/>
    </row>
    <row r="20" spans="4:7" ht="14.4" customHeight="1" x14ac:dyDescent="0.3">
      <c r="D20" s="160" t="s">
        <v>145</v>
      </c>
      <c r="E20" s="158"/>
      <c r="F20" s="156">
        <f>(E23/2)-E21</f>
        <v>0</v>
      </c>
      <c r="G20" s="156" t="e">
        <f>E22/E21</f>
        <v>#DIV/0!</v>
      </c>
    </row>
    <row r="21" spans="4:7" x14ac:dyDescent="0.3">
      <c r="D21" s="150" t="s">
        <v>138</v>
      </c>
      <c r="E21" s="151"/>
      <c r="F21" s="156">
        <f>(E23/2)-E20</f>
        <v>0</v>
      </c>
      <c r="G21" s="156" t="e">
        <f>E22/E20</f>
        <v>#DIV/0!</v>
      </c>
    </row>
    <row r="22" spans="4:7" x14ac:dyDescent="0.3">
      <c r="D22" s="150" t="s">
        <v>144</v>
      </c>
      <c r="E22" s="151"/>
      <c r="F22" s="156">
        <f>E21*E20</f>
        <v>0</v>
      </c>
    </row>
    <row r="23" spans="4:7" x14ac:dyDescent="0.3">
      <c r="D23" s="150" t="s">
        <v>127</v>
      </c>
      <c r="E23" s="151"/>
      <c r="F23" s="156">
        <f>2*(E21+E20)</f>
        <v>0</v>
      </c>
    </row>
    <row r="24" spans="4:7" x14ac:dyDescent="0.3">
      <c r="D24" s="150" t="s">
        <v>156</v>
      </c>
      <c r="E24" s="151"/>
      <c r="F24" s="156">
        <f>SQRT(E21^2+E20^2)</f>
        <v>0</v>
      </c>
    </row>
    <row r="30" spans="4:7" ht="21" x14ac:dyDescent="0.4">
      <c r="D30" s="341" t="s">
        <v>131</v>
      </c>
      <c r="E30" s="341"/>
      <c r="F30" s="341"/>
      <c r="G30" s="341"/>
    </row>
    <row r="31" spans="4:7" x14ac:dyDescent="0.3">
      <c r="D31" s="160" t="s">
        <v>145</v>
      </c>
      <c r="E31" s="161"/>
      <c r="F31" s="159" t="e">
        <f>E34/E32</f>
        <v>#DIV/0!</v>
      </c>
    </row>
    <row r="32" spans="4:7" x14ac:dyDescent="0.3">
      <c r="D32" s="154" t="s">
        <v>138</v>
      </c>
      <c r="E32" s="128"/>
      <c r="F32" s="156">
        <f>(E35-2*E33)/2</f>
        <v>0</v>
      </c>
      <c r="G32" s="156" t="e">
        <f>E34/E31</f>
        <v>#DIV/0!</v>
      </c>
    </row>
    <row r="33" spans="4:8" x14ac:dyDescent="0.3">
      <c r="D33" s="150" t="s">
        <v>157</v>
      </c>
      <c r="E33" s="128"/>
      <c r="F33" s="156">
        <f>(E35-2*E32)/2</f>
        <v>0</v>
      </c>
    </row>
    <row r="34" spans="4:8" x14ac:dyDescent="0.3">
      <c r="D34" s="150" t="s">
        <v>144</v>
      </c>
      <c r="E34" s="128"/>
      <c r="F34" s="156">
        <f>E32*E31</f>
        <v>0</v>
      </c>
    </row>
    <row r="35" spans="4:8" x14ac:dyDescent="0.3">
      <c r="D35" s="150" t="s">
        <v>127</v>
      </c>
      <c r="E35" s="128"/>
      <c r="F35" s="156">
        <f>2*E33+2*E32</f>
        <v>0</v>
      </c>
    </row>
    <row r="36" spans="4:8" x14ac:dyDescent="0.3">
      <c r="D36" s="152"/>
      <c r="E36" s="153"/>
    </row>
    <row r="41" spans="4:8" ht="21" x14ac:dyDescent="0.4">
      <c r="D41" s="341" t="s">
        <v>132</v>
      </c>
      <c r="E41" s="341"/>
      <c r="F41" s="341"/>
      <c r="G41" s="341"/>
      <c r="H41" s="341"/>
    </row>
    <row r="42" spans="4:8" x14ac:dyDescent="0.3">
      <c r="D42" s="354" t="s">
        <v>145</v>
      </c>
      <c r="E42" s="355"/>
      <c r="F42" s="158"/>
      <c r="G42" s="159" t="e">
        <f>2*F47/(F43+F44)</f>
        <v>#DIV/0!</v>
      </c>
    </row>
    <row r="43" spans="4:8" x14ac:dyDescent="0.3">
      <c r="D43" s="356" t="s">
        <v>158</v>
      </c>
      <c r="E43" s="357"/>
      <c r="F43" s="151"/>
      <c r="G43" s="156" t="e">
        <f>2*F47/F42-F44</f>
        <v>#DIV/0!</v>
      </c>
      <c r="H43" s="156">
        <f>2*F48-F44</f>
        <v>0</v>
      </c>
    </row>
    <row r="44" spans="4:8" x14ac:dyDescent="0.3">
      <c r="D44" s="356" t="s">
        <v>159</v>
      </c>
      <c r="E44" s="357"/>
      <c r="F44" s="151"/>
      <c r="G44" s="156" t="e">
        <f>2*F47/F42-F43</f>
        <v>#DIV/0!</v>
      </c>
    </row>
    <row r="45" spans="4:8" x14ac:dyDescent="0.3">
      <c r="D45" s="356" t="s">
        <v>160</v>
      </c>
      <c r="E45" s="357"/>
      <c r="F45" s="151"/>
    </row>
    <row r="46" spans="4:8" x14ac:dyDescent="0.3">
      <c r="D46" s="350" t="s">
        <v>161</v>
      </c>
      <c r="E46" s="351"/>
      <c r="F46" s="151"/>
    </row>
    <row r="47" spans="4:8" x14ac:dyDescent="0.3">
      <c r="D47" s="350" t="s">
        <v>144</v>
      </c>
      <c r="E47" s="351"/>
      <c r="F47" s="113"/>
      <c r="G47" s="156">
        <f>F48*F42</f>
        <v>0</v>
      </c>
      <c r="H47" s="156">
        <f>(F43+F44/2)*F42</f>
        <v>0</v>
      </c>
    </row>
    <row r="48" spans="4:8" x14ac:dyDescent="0.3">
      <c r="D48" s="350" t="s">
        <v>162</v>
      </c>
      <c r="E48" s="351"/>
      <c r="F48" s="151"/>
      <c r="G48" s="156">
        <f>(F43+F44)/2</f>
        <v>0</v>
      </c>
    </row>
    <row r="49" spans="4:7" x14ac:dyDescent="0.3">
      <c r="D49" s="350" t="s">
        <v>127</v>
      </c>
      <c r="E49" s="351"/>
      <c r="F49" s="151"/>
      <c r="G49" s="156">
        <f>F43+F44+F45+F46</f>
        <v>0</v>
      </c>
    </row>
    <row r="50" spans="4:7" x14ac:dyDescent="0.3">
      <c r="F50" s="153"/>
      <c r="G50" s="152"/>
    </row>
    <row r="51" spans="4:7" x14ac:dyDescent="0.3">
      <c r="F51" s="153"/>
      <c r="G51" s="152"/>
    </row>
    <row r="52" spans="4:7" x14ac:dyDescent="0.3">
      <c r="F52" s="153"/>
      <c r="G52" s="152"/>
    </row>
    <row r="53" spans="4:7" ht="21" x14ac:dyDescent="0.4">
      <c r="E53" s="341" t="s">
        <v>134</v>
      </c>
      <c r="F53" s="341"/>
      <c r="G53" s="341"/>
    </row>
    <row r="54" spans="4:7" x14ac:dyDescent="0.3">
      <c r="E54" s="160" t="s">
        <v>145</v>
      </c>
      <c r="F54" s="158"/>
      <c r="G54" s="156" t="e">
        <f>2*F58/F55</f>
        <v>#DIV/0!</v>
      </c>
    </row>
    <row r="55" spans="4:7" x14ac:dyDescent="0.3">
      <c r="E55" s="154" t="s">
        <v>138</v>
      </c>
      <c r="F55" s="151"/>
      <c r="G55" s="156" t="e">
        <f>2*F58/F54</f>
        <v>#DIV/0!</v>
      </c>
    </row>
    <row r="56" spans="4:7" x14ac:dyDescent="0.3">
      <c r="E56" s="150" t="s">
        <v>157</v>
      </c>
      <c r="F56" s="151"/>
    </row>
    <row r="57" spans="4:7" x14ac:dyDescent="0.3">
      <c r="E57" s="150" t="s">
        <v>159</v>
      </c>
      <c r="F57" s="151"/>
    </row>
    <row r="58" spans="4:7" x14ac:dyDescent="0.3">
      <c r="E58" s="150" t="s">
        <v>144</v>
      </c>
      <c r="F58" s="151"/>
      <c r="G58" s="156">
        <f>F55*F54/2</f>
        <v>0</v>
      </c>
    </row>
    <row r="59" spans="4:7" x14ac:dyDescent="0.3">
      <c r="E59" s="150" t="s">
        <v>127</v>
      </c>
      <c r="F59" s="151"/>
      <c r="G59" s="156">
        <f>F55+F56+F57</f>
        <v>0</v>
      </c>
    </row>
    <row r="73" spans="5:9" ht="21" x14ac:dyDescent="0.4">
      <c r="E73" s="352" t="s">
        <v>135</v>
      </c>
      <c r="F73" s="353"/>
      <c r="G73" s="353"/>
      <c r="H73" s="353"/>
      <c r="I73" s="353"/>
    </row>
    <row r="74" spans="5:9" x14ac:dyDescent="0.3">
      <c r="E74" s="342" t="s">
        <v>136</v>
      </c>
      <c r="F74" s="342"/>
      <c r="G74" s="151"/>
      <c r="H74" s="156">
        <f>1.732*(G76/2)</f>
        <v>0</v>
      </c>
    </row>
    <row r="75" spans="5:9" x14ac:dyDescent="0.3">
      <c r="E75" s="342" t="s">
        <v>138</v>
      </c>
      <c r="F75" s="342"/>
      <c r="G75" s="151"/>
      <c r="H75" s="156">
        <f>G76/2</f>
        <v>0</v>
      </c>
    </row>
    <row r="76" spans="5:9" x14ac:dyDescent="0.3">
      <c r="E76" s="342" t="s">
        <v>137</v>
      </c>
      <c r="F76" s="342"/>
      <c r="G76" s="151"/>
      <c r="H76" s="156">
        <f>1.155*G74</f>
        <v>0</v>
      </c>
    </row>
    <row r="77" spans="5:9" x14ac:dyDescent="0.3">
      <c r="E77" s="343" t="s">
        <v>144</v>
      </c>
      <c r="F77" s="343"/>
      <c r="G77" s="151"/>
      <c r="H77" s="162">
        <f>0.649*G76^2</f>
        <v>0</v>
      </c>
      <c r="I77" s="156">
        <f>0.866*G74^2</f>
        <v>0</v>
      </c>
    </row>
    <row r="78" spans="5:9" x14ac:dyDescent="0.3">
      <c r="E78" s="344" t="s">
        <v>133</v>
      </c>
      <c r="F78" s="345"/>
      <c r="G78" s="158"/>
      <c r="H78" s="156">
        <f>(G75+G76)/2</f>
        <v>0</v>
      </c>
    </row>
    <row r="79" spans="5:9" x14ac:dyDescent="0.3">
      <c r="E79" s="350" t="s">
        <v>127</v>
      </c>
      <c r="F79" s="351"/>
      <c r="G79" s="151"/>
      <c r="H79" s="156">
        <f>6*G75</f>
        <v>0</v>
      </c>
    </row>
    <row r="89" spans="5:8" ht="21" x14ac:dyDescent="0.4">
      <c r="E89" s="352" t="s">
        <v>139</v>
      </c>
      <c r="F89" s="353"/>
      <c r="G89" s="353"/>
      <c r="H89" s="353"/>
    </row>
    <row r="90" spans="5:8" x14ac:dyDescent="0.3">
      <c r="E90" s="154" t="s">
        <v>140</v>
      </c>
      <c r="F90" s="151"/>
      <c r="G90" s="156">
        <f>SQRT(F92/PI())</f>
        <v>0</v>
      </c>
    </row>
    <row r="91" spans="5:8" x14ac:dyDescent="0.3">
      <c r="E91" s="150" t="s">
        <v>141</v>
      </c>
      <c r="F91" s="151">
        <v>984</v>
      </c>
      <c r="G91" s="156">
        <f>SQRT((4*F92)/PI())</f>
        <v>0</v>
      </c>
    </row>
    <row r="92" spans="5:8" x14ac:dyDescent="0.3">
      <c r="E92" s="150" t="s">
        <v>5</v>
      </c>
      <c r="F92" s="151"/>
      <c r="G92" s="156">
        <f>PI()*F90^2</f>
        <v>0</v>
      </c>
      <c r="H92" s="156">
        <f>(PI()*F91^2)/4</f>
        <v>760466.48409855971</v>
      </c>
    </row>
    <row r="93" spans="5:8" x14ac:dyDescent="0.3">
      <c r="E93" s="150" t="s">
        <v>142</v>
      </c>
      <c r="F93" s="151"/>
      <c r="G93" s="155">
        <f>PI()*F91</f>
        <v>3091.3271711323564</v>
      </c>
      <c r="H93" s="156">
        <f>2*F90*PI()</f>
        <v>0</v>
      </c>
    </row>
    <row r="101" spans="5:10" ht="21" x14ac:dyDescent="0.4">
      <c r="E101" s="341" t="s">
        <v>143</v>
      </c>
      <c r="F101" s="341"/>
      <c r="G101" s="341"/>
      <c r="H101" s="341"/>
      <c r="I101" s="341"/>
      <c r="J101" s="341"/>
    </row>
    <row r="102" spans="5:10" x14ac:dyDescent="0.3">
      <c r="E102" s="342" t="s">
        <v>144</v>
      </c>
      <c r="F102" s="342"/>
      <c r="G102" s="151"/>
      <c r="H102" s="156">
        <f>(PI()*G104^2/4)-(PI()*G105^2)/4</f>
        <v>0</v>
      </c>
      <c r="I102" s="156">
        <f>PI()/4*(G104^2-G105^2)</f>
        <v>0</v>
      </c>
      <c r="J102" s="156">
        <f>PI()*G106+G103</f>
        <v>0</v>
      </c>
    </row>
    <row r="103" spans="5:10" x14ac:dyDescent="0.3">
      <c r="E103" s="349" t="s">
        <v>145</v>
      </c>
      <c r="F103" s="349"/>
      <c r="G103" s="158"/>
      <c r="H103" s="159"/>
    </row>
    <row r="104" spans="5:10" x14ac:dyDescent="0.3">
      <c r="E104" s="342" t="s">
        <v>146</v>
      </c>
      <c r="F104" s="342"/>
      <c r="G104" s="151"/>
      <c r="H104" s="156">
        <f>SQRT(G105^2+4*G102/PI())</f>
        <v>0</v>
      </c>
    </row>
    <row r="105" spans="5:10" x14ac:dyDescent="0.3">
      <c r="E105" s="343" t="s">
        <v>147</v>
      </c>
      <c r="F105" s="343"/>
      <c r="G105" s="151"/>
      <c r="H105" s="156">
        <f>SQRT(G104^2-(4*G102/PI()))</f>
        <v>0</v>
      </c>
    </row>
    <row r="106" spans="5:10" x14ac:dyDescent="0.3">
      <c r="E106" s="344" t="s">
        <v>148</v>
      </c>
      <c r="F106" s="345"/>
      <c r="G106" s="158"/>
      <c r="H106" s="155">
        <f>G104+G105/2</f>
        <v>0</v>
      </c>
    </row>
    <row r="116" spans="5:9" ht="21" x14ac:dyDescent="0.4">
      <c r="E116" s="346" t="s">
        <v>179</v>
      </c>
      <c r="F116" s="347"/>
      <c r="G116" s="347"/>
      <c r="H116" s="347"/>
      <c r="I116" s="348"/>
    </row>
    <row r="117" spans="5:9" x14ac:dyDescent="0.3">
      <c r="E117" s="342" t="s">
        <v>144</v>
      </c>
      <c r="F117" s="342"/>
      <c r="G117" s="151"/>
      <c r="H117" s="156">
        <f>PI()*G16^2*G121/5*360</f>
        <v>0</v>
      </c>
      <c r="I117" s="156">
        <f>G120*G118/2</f>
        <v>0</v>
      </c>
    </row>
    <row r="118" spans="5:9" x14ac:dyDescent="0.3">
      <c r="E118" s="349" t="s">
        <v>150</v>
      </c>
      <c r="F118" s="349"/>
      <c r="G118" s="158"/>
      <c r="H118" s="159">
        <f>G119/2</f>
        <v>0</v>
      </c>
      <c r="I118" s="155">
        <f>SQRT(G117/PI())</f>
        <v>0</v>
      </c>
    </row>
    <row r="119" spans="5:9" x14ac:dyDescent="0.3">
      <c r="E119" s="342" t="s">
        <v>149</v>
      </c>
      <c r="F119" s="342"/>
      <c r="G119" s="151"/>
      <c r="H119" s="156">
        <f>SQRT(G120^2+4*G117/PI())</f>
        <v>0</v>
      </c>
    </row>
    <row r="120" spans="5:9" x14ac:dyDescent="0.3">
      <c r="E120" s="343" t="s">
        <v>151</v>
      </c>
      <c r="F120" s="343"/>
      <c r="G120" s="151"/>
      <c r="H120" s="156">
        <f>PI()*G119*G121/360</f>
        <v>0</v>
      </c>
    </row>
    <row r="121" spans="5:9" x14ac:dyDescent="0.3">
      <c r="E121" s="344" t="s">
        <v>152</v>
      </c>
      <c r="F121" s="345"/>
      <c r="G121" s="158"/>
      <c r="H121" s="155">
        <f>1440*G117/PI()*G119^2</f>
        <v>0</v>
      </c>
    </row>
    <row r="130" spans="5:7" ht="21" x14ac:dyDescent="0.4">
      <c r="E130" s="341" t="s">
        <v>153</v>
      </c>
      <c r="F130" s="341"/>
      <c r="G130" s="341"/>
    </row>
    <row r="131" spans="5:7" x14ac:dyDescent="0.3">
      <c r="E131" s="154" t="s">
        <v>154</v>
      </c>
      <c r="F131" s="151"/>
      <c r="G131" s="156" t="e">
        <f>4*F134/(PI()*F132)</f>
        <v>#DIV/0!</v>
      </c>
    </row>
    <row r="132" spans="5:7" x14ac:dyDescent="0.3">
      <c r="E132" s="154" t="s">
        <v>155</v>
      </c>
      <c r="F132" s="151"/>
      <c r="G132" s="156" t="e">
        <f>4*F134/(PI()*F131)</f>
        <v>#DIV/0!</v>
      </c>
    </row>
    <row r="133" spans="5:7" x14ac:dyDescent="0.3">
      <c r="E133" s="150" t="s">
        <v>142</v>
      </c>
      <c r="F133" s="151"/>
      <c r="G133" s="156">
        <f>F131+F132/2*PI()</f>
        <v>0</v>
      </c>
    </row>
    <row r="134" spans="5:7" x14ac:dyDescent="0.3">
      <c r="E134" s="150" t="s">
        <v>5</v>
      </c>
      <c r="F134" s="151"/>
      <c r="G134" s="156">
        <f>(F131*F132*PI())/4</f>
        <v>0</v>
      </c>
    </row>
    <row r="149" spans="5:9" ht="21" x14ac:dyDescent="0.4">
      <c r="E149" s="341" t="s">
        <v>134</v>
      </c>
      <c r="F149" s="341"/>
      <c r="G149" s="341"/>
      <c r="H149" s="341"/>
      <c r="I149" s="341"/>
    </row>
    <row r="150" spans="5:9" x14ac:dyDescent="0.3">
      <c r="E150" s="160" t="s">
        <v>163</v>
      </c>
      <c r="F150" s="158"/>
      <c r="G150" s="166">
        <f>1.154*F154</f>
        <v>0</v>
      </c>
      <c r="H150" s="159">
        <f>2*F151</f>
        <v>0</v>
      </c>
    </row>
    <row r="151" spans="5:9" x14ac:dyDescent="0.3">
      <c r="E151" s="154" t="s">
        <v>149</v>
      </c>
      <c r="F151" s="151"/>
      <c r="G151" s="163">
        <f>0.578*F154</f>
        <v>0</v>
      </c>
      <c r="H151" s="156">
        <f>0.5*F150</f>
        <v>0</v>
      </c>
    </row>
    <row r="152" spans="5:9" x14ac:dyDescent="0.3">
      <c r="E152" s="150" t="s">
        <v>164</v>
      </c>
      <c r="F152" s="151"/>
      <c r="G152" s="156">
        <f>F154*3</f>
        <v>0</v>
      </c>
    </row>
    <row r="153" spans="5:9" x14ac:dyDescent="0.3">
      <c r="E153" s="150" t="s">
        <v>144</v>
      </c>
      <c r="F153" s="151"/>
      <c r="G153" s="165">
        <f>0.325*G150^2</f>
        <v>0</v>
      </c>
      <c r="H153" s="156">
        <f>1.299*G151^2</f>
        <v>0</v>
      </c>
      <c r="I153" s="156">
        <f>0.433*F154^2</f>
        <v>0</v>
      </c>
    </row>
    <row r="154" spans="5:9" x14ac:dyDescent="0.3">
      <c r="E154" s="150" t="s">
        <v>138</v>
      </c>
      <c r="F154" s="164"/>
      <c r="G154" s="156">
        <f>0.866*F150</f>
        <v>0</v>
      </c>
      <c r="H154" s="156">
        <f>1.73*F151</f>
        <v>0</v>
      </c>
    </row>
    <row r="170" spans="5:9" ht="21" x14ac:dyDescent="0.4">
      <c r="E170" s="341" t="s">
        <v>129</v>
      </c>
      <c r="F170" s="341"/>
      <c r="G170" s="341"/>
      <c r="H170" s="341"/>
      <c r="I170" s="341"/>
    </row>
    <row r="171" spans="5:9" x14ac:dyDescent="0.3">
      <c r="E171" s="160" t="s">
        <v>163</v>
      </c>
      <c r="F171" s="158"/>
      <c r="G171" s="166">
        <f>1.414*F175</f>
        <v>0</v>
      </c>
      <c r="H171" s="159">
        <f>1.414*F172</f>
        <v>0</v>
      </c>
      <c r="I171" s="156">
        <f>F176</f>
        <v>0</v>
      </c>
    </row>
    <row r="172" spans="5:9" x14ac:dyDescent="0.3">
      <c r="E172" s="154" t="s">
        <v>149</v>
      </c>
      <c r="F172" s="151"/>
      <c r="G172" s="163">
        <f>F175</f>
        <v>0</v>
      </c>
      <c r="H172" s="156">
        <f>0.707*F171</f>
        <v>0</v>
      </c>
    </row>
    <row r="173" spans="5:9" x14ac:dyDescent="0.3">
      <c r="E173" s="150" t="s">
        <v>164</v>
      </c>
      <c r="F173" s="151"/>
      <c r="G173" s="156">
        <f>F175*4</f>
        <v>0</v>
      </c>
    </row>
    <row r="174" spans="5:9" x14ac:dyDescent="0.3">
      <c r="E174" s="150" t="s">
        <v>144</v>
      </c>
      <c r="F174" s="151"/>
      <c r="G174" s="165">
        <f>0.5*F171^2</f>
        <v>0</v>
      </c>
      <c r="H174" s="156">
        <f>F172^2</f>
        <v>0</v>
      </c>
      <c r="I174" s="156">
        <f>F175^2</f>
        <v>0</v>
      </c>
    </row>
    <row r="175" spans="5:9" x14ac:dyDescent="0.3">
      <c r="E175" s="150" t="s">
        <v>138</v>
      </c>
      <c r="F175" s="164"/>
      <c r="G175" s="156">
        <f>0.707*F171</f>
        <v>0</v>
      </c>
      <c r="H175" s="156">
        <f>F172</f>
        <v>0</v>
      </c>
    </row>
    <row r="176" spans="5:9" x14ac:dyDescent="0.3">
      <c r="E176" s="150" t="s">
        <v>156</v>
      </c>
      <c r="F176" s="157"/>
      <c r="G176" s="156">
        <f>1.414*F172</f>
        <v>0</v>
      </c>
      <c r="H176" s="156">
        <f>1.414*F175</f>
        <v>0</v>
      </c>
    </row>
    <row r="187" spans="5:9" ht="21" x14ac:dyDescent="0.4">
      <c r="E187" s="341" t="s">
        <v>135</v>
      </c>
      <c r="F187" s="341"/>
      <c r="G187" s="341"/>
      <c r="H187" s="341"/>
      <c r="I187" s="341"/>
    </row>
    <row r="188" spans="5:9" x14ac:dyDescent="0.3">
      <c r="E188" s="160" t="s">
        <v>163</v>
      </c>
      <c r="F188" s="158"/>
      <c r="G188" s="155">
        <f>2*F192</f>
        <v>0</v>
      </c>
      <c r="H188" s="159">
        <f>1.155*F189</f>
        <v>0</v>
      </c>
      <c r="I188" s="156">
        <f>F193</f>
        <v>0</v>
      </c>
    </row>
    <row r="189" spans="5:9" x14ac:dyDescent="0.3">
      <c r="E189" s="154" t="s">
        <v>149</v>
      </c>
      <c r="F189" s="151"/>
      <c r="G189" s="163">
        <f>1.732*F192</f>
        <v>0</v>
      </c>
      <c r="H189" s="163">
        <f>0.866*F188</f>
        <v>0</v>
      </c>
      <c r="I189" s="156">
        <f>F194</f>
        <v>0</v>
      </c>
    </row>
    <row r="190" spans="5:9" x14ac:dyDescent="0.3">
      <c r="E190" s="150" t="s">
        <v>164</v>
      </c>
      <c r="F190" s="151"/>
      <c r="G190" s="156">
        <f>F192*6</f>
        <v>0</v>
      </c>
    </row>
    <row r="191" spans="5:9" x14ac:dyDescent="0.3">
      <c r="E191" s="150" t="s">
        <v>144</v>
      </c>
      <c r="F191" s="151"/>
      <c r="G191" s="165">
        <f>0.649*F188^2</f>
        <v>0</v>
      </c>
      <c r="H191" s="156">
        <f>0.866*F189^2</f>
        <v>0</v>
      </c>
      <c r="I191" s="156">
        <f>2.598*F192^2</f>
        <v>0</v>
      </c>
    </row>
    <row r="192" spans="5:9" x14ac:dyDescent="0.3">
      <c r="E192" s="150" t="s">
        <v>138</v>
      </c>
      <c r="F192" s="164"/>
      <c r="G192" s="156">
        <f>0.5*F188</f>
        <v>0</v>
      </c>
      <c r="H192" s="156">
        <f>0.577*F189</f>
        <v>0</v>
      </c>
      <c r="I192" s="167"/>
    </row>
    <row r="193" spans="5:9" x14ac:dyDescent="0.3">
      <c r="E193" s="150" t="s">
        <v>156</v>
      </c>
      <c r="F193" s="157"/>
      <c r="G193" s="156">
        <f>F188</f>
        <v>0</v>
      </c>
      <c r="H193" s="156">
        <f>1.155*F189</f>
        <v>0</v>
      </c>
    </row>
    <row r="194" spans="5:9" x14ac:dyDescent="0.3">
      <c r="E194" s="150" t="s">
        <v>166</v>
      </c>
      <c r="F194" s="157"/>
      <c r="G194" s="156">
        <f>F189</f>
        <v>0</v>
      </c>
    </row>
    <row r="206" spans="5:9" ht="21" x14ac:dyDescent="0.4">
      <c r="E206" s="341" t="s">
        <v>165</v>
      </c>
      <c r="F206" s="341"/>
      <c r="G206" s="341"/>
      <c r="H206" s="341"/>
      <c r="I206" s="341"/>
    </row>
    <row r="207" spans="5:9" x14ac:dyDescent="0.3">
      <c r="E207" s="160" t="s">
        <v>163</v>
      </c>
      <c r="F207" s="158"/>
      <c r="G207" s="155">
        <f>2.614*F211</f>
        <v>0</v>
      </c>
      <c r="H207" s="159">
        <f>1.082*F208</f>
        <v>0</v>
      </c>
      <c r="I207" s="156">
        <f>F212</f>
        <v>0</v>
      </c>
    </row>
    <row r="208" spans="5:9" x14ac:dyDescent="0.3">
      <c r="E208" s="154" t="s">
        <v>149</v>
      </c>
      <c r="F208" s="151"/>
      <c r="G208" s="163">
        <f>0.924*F207</f>
        <v>0</v>
      </c>
      <c r="H208" s="156">
        <f>2.414*F211</f>
        <v>0</v>
      </c>
      <c r="I208" s="156">
        <f>F213</f>
        <v>0</v>
      </c>
    </row>
    <row r="209" spans="5:9" x14ac:dyDescent="0.3">
      <c r="E209" s="150" t="s">
        <v>164</v>
      </c>
      <c r="F209" s="151"/>
      <c r="G209" s="156">
        <f>8*F211</f>
        <v>0</v>
      </c>
    </row>
    <row r="210" spans="5:9" x14ac:dyDescent="0.3">
      <c r="E210" s="150" t="s">
        <v>144</v>
      </c>
      <c r="F210" s="151"/>
      <c r="G210" s="165">
        <f>0.707*F207^2</f>
        <v>0</v>
      </c>
      <c r="H210" s="156">
        <f>0.829*F208^2</f>
        <v>0</v>
      </c>
      <c r="I210" s="156">
        <f>4.828*F211^2</f>
        <v>0</v>
      </c>
    </row>
    <row r="211" spans="5:9" x14ac:dyDescent="0.3">
      <c r="E211" s="150" t="s">
        <v>138</v>
      </c>
      <c r="F211" s="164"/>
      <c r="G211" s="156">
        <f>0.383*F207</f>
        <v>0</v>
      </c>
      <c r="H211" s="156">
        <f>0.414*F208</f>
        <v>0</v>
      </c>
      <c r="I211" s="167"/>
    </row>
    <row r="212" spans="5:9" x14ac:dyDescent="0.3">
      <c r="E212" s="150" t="s">
        <v>156</v>
      </c>
      <c r="F212" s="157"/>
      <c r="G212" s="156">
        <f>F207</f>
        <v>0</v>
      </c>
      <c r="H212" s="156"/>
    </row>
    <row r="213" spans="5:9" x14ac:dyDescent="0.3">
      <c r="E213" s="150" t="s">
        <v>166</v>
      </c>
      <c r="F213" s="157"/>
      <c r="G213" s="156">
        <f>F208</f>
        <v>0</v>
      </c>
    </row>
  </sheetData>
  <mergeCells count="38">
    <mergeCell ref="D8:F8"/>
    <mergeCell ref="D19:G19"/>
    <mergeCell ref="D30:G30"/>
    <mergeCell ref="D41:H41"/>
    <mergeCell ref="E53:G53"/>
    <mergeCell ref="D47:E47"/>
    <mergeCell ref="D49:E49"/>
    <mergeCell ref="D48:E48"/>
    <mergeCell ref="D42:E42"/>
    <mergeCell ref="D43:E43"/>
    <mergeCell ref="D44:E44"/>
    <mergeCell ref="D45:E45"/>
    <mergeCell ref="D46:E46"/>
    <mergeCell ref="E79:F79"/>
    <mergeCell ref="E89:H89"/>
    <mergeCell ref="E73:I73"/>
    <mergeCell ref="E76:F76"/>
    <mergeCell ref="E77:F77"/>
    <mergeCell ref="E78:F78"/>
    <mergeCell ref="E74:F74"/>
    <mergeCell ref="E75:F75"/>
    <mergeCell ref="E116:I116"/>
    <mergeCell ref="E130:G130"/>
    <mergeCell ref="E101:J101"/>
    <mergeCell ref="E117:F117"/>
    <mergeCell ref="E118:F118"/>
    <mergeCell ref="E102:F102"/>
    <mergeCell ref="E103:F103"/>
    <mergeCell ref="E104:F104"/>
    <mergeCell ref="E105:F105"/>
    <mergeCell ref="E106:F106"/>
    <mergeCell ref="E149:I149"/>
    <mergeCell ref="E170:I170"/>
    <mergeCell ref="E187:I187"/>
    <mergeCell ref="E206:I206"/>
    <mergeCell ref="E119:F119"/>
    <mergeCell ref="E120:F120"/>
    <mergeCell ref="E121:F12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E883-5BDA-4D7E-9F8D-188675B2DC60}">
  <dimension ref="E9:J68"/>
  <sheetViews>
    <sheetView topLeftCell="A36" zoomScale="90" zoomScaleNormal="90" workbookViewId="0">
      <selection activeCell="F41" sqref="F41"/>
    </sheetView>
  </sheetViews>
  <sheetFormatPr baseColWidth="10" defaultRowHeight="14.4" x14ac:dyDescent="0.3"/>
  <cols>
    <col min="6" max="6" width="13.6640625" customWidth="1"/>
  </cols>
  <sheetData>
    <row r="9" spans="5:8" ht="21" x14ac:dyDescent="0.4">
      <c r="E9" s="358" t="s">
        <v>167</v>
      </c>
      <c r="F9" s="359"/>
      <c r="G9" s="359"/>
      <c r="H9" s="359"/>
    </row>
    <row r="10" spans="5:8" x14ac:dyDescent="0.3">
      <c r="E10" s="150" t="s">
        <v>138</v>
      </c>
      <c r="F10" s="151"/>
      <c r="G10" s="156">
        <f>POWER(F13,1/3)</f>
        <v>0</v>
      </c>
      <c r="H10" s="156" t="e">
        <f>F13/F11</f>
        <v>#DIV/0!</v>
      </c>
    </row>
    <row r="11" spans="5:8" x14ac:dyDescent="0.3">
      <c r="E11" s="150" t="s">
        <v>144</v>
      </c>
      <c r="F11" s="151"/>
      <c r="G11" s="156" t="e">
        <f>F13/F10</f>
        <v>#DIV/0!</v>
      </c>
    </row>
    <row r="12" spans="5:8" x14ac:dyDescent="0.3">
      <c r="E12" s="150" t="s">
        <v>156</v>
      </c>
      <c r="F12" s="151"/>
      <c r="G12" s="156">
        <f>SQRT(3)*F10</f>
        <v>0</v>
      </c>
      <c r="H12" s="156">
        <f>1.732*F10</f>
        <v>0</v>
      </c>
    </row>
    <row r="13" spans="5:8" x14ac:dyDescent="0.3">
      <c r="E13" s="150" t="s">
        <v>168</v>
      </c>
      <c r="F13" s="157"/>
      <c r="G13" s="156">
        <f>F10^3</f>
        <v>0</v>
      </c>
    </row>
    <row r="22" spans="5:8" ht="21" x14ac:dyDescent="0.4">
      <c r="E22" s="341" t="s">
        <v>178</v>
      </c>
      <c r="F22" s="341"/>
      <c r="G22" s="341"/>
      <c r="H22" s="341"/>
    </row>
    <row r="23" spans="5:8" x14ac:dyDescent="0.3">
      <c r="E23" s="150" t="s">
        <v>138</v>
      </c>
      <c r="F23" s="151"/>
      <c r="G23" s="156" t="e">
        <f>F26/(F27*F28)</f>
        <v>#DIV/0!</v>
      </c>
    </row>
    <row r="24" spans="5:8" x14ac:dyDescent="0.3">
      <c r="E24" s="150" t="s">
        <v>144</v>
      </c>
      <c r="F24" s="151"/>
      <c r="G24" s="156">
        <f>F27*F23</f>
        <v>0</v>
      </c>
    </row>
    <row r="25" spans="5:8" x14ac:dyDescent="0.3">
      <c r="E25" s="150" t="s">
        <v>156</v>
      </c>
      <c r="F25" s="151"/>
      <c r="G25" s="156">
        <f>SQRT(F23^2+F27^2+F28^2)</f>
        <v>0</v>
      </c>
    </row>
    <row r="26" spans="5:8" x14ac:dyDescent="0.3">
      <c r="E26" s="150" t="s">
        <v>168</v>
      </c>
      <c r="F26" s="157"/>
      <c r="G26" s="163">
        <f>F24*F28</f>
        <v>0</v>
      </c>
      <c r="H26" s="156">
        <f>F23*F27*F28</f>
        <v>0</v>
      </c>
    </row>
    <row r="27" spans="5:8" x14ac:dyDescent="0.3">
      <c r="E27" s="150" t="s">
        <v>145</v>
      </c>
      <c r="F27" s="151"/>
      <c r="G27" s="162" t="e">
        <f>F26/(F23*F28)</f>
        <v>#DIV/0!</v>
      </c>
    </row>
    <row r="28" spans="5:8" x14ac:dyDescent="0.3">
      <c r="E28" s="150" t="s">
        <v>169</v>
      </c>
      <c r="F28" s="157"/>
      <c r="G28" s="156" t="e">
        <f>F26/(F23*F27)</f>
        <v>#DIV/0!</v>
      </c>
    </row>
    <row r="37" spans="5:8" ht="21" x14ac:dyDescent="0.4">
      <c r="E37" s="341" t="s">
        <v>170</v>
      </c>
      <c r="F37" s="341"/>
      <c r="G37" s="341"/>
      <c r="H37" s="341"/>
    </row>
    <row r="38" spans="5:8" x14ac:dyDescent="0.3">
      <c r="E38" s="150" t="s">
        <v>149</v>
      </c>
      <c r="F38" s="151"/>
      <c r="G38" s="156" t="e">
        <f>SQRT((4*F40)/(PI()*F41))</f>
        <v>#DIV/0!</v>
      </c>
    </row>
    <row r="39" spans="5:8" x14ac:dyDescent="0.3">
      <c r="E39" s="150" t="s">
        <v>144</v>
      </c>
      <c r="F39" s="151"/>
      <c r="G39" s="156" t="e">
        <f>F40/F41</f>
        <v>#DIV/0!</v>
      </c>
    </row>
    <row r="40" spans="5:8" x14ac:dyDescent="0.3">
      <c r="E40" s="150" t="s">
        <v>168</v>
      </c>
      <c r="F40" s="157"/>
      <c r="G40" s="163">
        <f>F39*F41</f>
        <v>0</v>
      </c>
      <c r="H40" s="156">
        <f>(PI()*F38^2)/4*F41</f>
        <v>0</v>
      </c>
    </row>
    <row r="41" spans="5:8" x14ac:dyDescent="0.3">
      <c r="E41" s="150" t="s">
        <v>169</v>
      </c>
      <c r="F41" s="157"/>
      <c r="G41" s="156" t="e">
        <f>F40/F39</f>
        <v>#DIV/0!</v>
      </c>
      <c r="H41" s="156" t="e">
        <f>(4*F40)/(PI()*F38^2)</f>
        <v>#DIV/0!</v>
      </c>
    </row>
    <row r="52" spans="6:9" ht="21" x14ac:dyDescent="0.4">
      <c r="F52" s="341" t="s">
        <v>171</v>
      </c>
      <c r="G52" s="341"/>
      <c r="H52" s="341"/>
      <c r="I52" s="341"/>
    </row>
    <row r="53" spans="6:9" x14ac:dyDescent="0.3">
      <c r="F53" s="150" t="s">
        <v>172</v>
      </c>
      <c r="G53" s="151"/>
    </row>
    <row r="54" spans="6:9" x14ac:dyDescent="0.3">
      <c r="F54" s="150" t="s">
        <v>173</v>
      </c>
      <c r="G54" s="151"/>
    </row>
    <row r="55" spans="6:9" x14ac:dyDescent="0.3">
      <c r="F55" s="150" t="s">
        <v>144</v>
      </c>
      <c r="G55" s="151"/>
      <c r="H55" s="156" t="e">
        <f>G56/G57</f>
        <v>#DIV/0!</v>
      </c>
      <c r="I55" s="156">
        <f>(PI()*G53^2/4)-(PI()*G54^2/4)</f>
        <v>0</v>
      </c>
    </row>
    <row r="56" spans="6:9" x14ac:dyDescent="0.3">
      <c r="F56" s="150" t="s">
        <v>168</v>
      </c>
      <c r="G56" s="157"/>
      <c r="H56" s="163">
        <f>G55*G57</f>
        <v>0</v>
      </c>
      <c r="I56" s="156">
        <f>PI()/4*(G53^2-G54^2)*G57</f>
        <v>0</v>
      </c>
    </row>
    <row r="57" spans="6:9" x14ac:dyDescent="0.3">
      <c r="F57" s="150" t="s">
        <v>169</v>
      </c>
      <c r="G57" s="157"/>
      <c r="H57" s="162" t="e">
        <f>4*G56/(PI()*(G53^2-G54^2))</f>
        <v>#DIV/0!</v>
      </c>
    </row>
    <row r="58" spans="6:9" x14ac:dyDescent="0.3">
      <c r="F58" s="150" t="s">
        <v>174</v>
      </c>
      <c r="G58" s="164"/>
      <c r="H58" s="156">
        <f>G56-G59</f>
        <v>0</v>
      </c>
      <c r="I58" s="156">
        <f>(PI()*G53^2/4)-(PI()*G54^2/4)</f>
        <v>0</v>
      </c>
    </row>
    <row r="59" spans="6:9" x14ac:dyDescent="0.3">
      <c r="F59" s="150" t="s">
        <v>175</v>
      </c>
      <c r="G59" s="164"/>
      <c r="H59" s="156">
        <f>G56-G58</f>
        <v>0</v>
      </c>
    </row>
    <row r="65" spans="6:10" ht="21" x14ac:dyDescent="0.4">
      <c r="F65" s="341" t="s">
        <v>176</v>
      </c>
      <c r="G65" s="341"/>
      <c r="H65" s="341"/>
      <c r="I65" s="341"/>
      <c r="J65" s="341"/>
    </row>
    <row r="66" spans="6:10" x14ac:dyDescent="0.3">
      <c r="F66" s="168" t="s">
        <v>149</v>
      </c>
      <c r="G66" s="158"/>
      <c r="H66" s="159">
        <f>POWER((6*G67/PI()),1/3)</f>
        <v>0</v>
      </c>
    </row>
    <row r="67" spans="6:10" x14ac:dyDescent="0.3">
      <c r="F67" s="150" t="s">
        <v>168</v>
      </c>
      <c r="G67" s="151"/>
      <c r="H67" s="156">
        <f>0.524*G66^3</f>
        <v>0</v>
      </c>
      <c r="I67" s="156">
        <f>PI()*G66^3/6</f>
        <v>0</v>
      </c>
      <c r="J67" s="156">
        <f>4*PI()*G68^3/3</f>
        <v>0</v>
      </c>
    </row>
    <row r="68" spans="6:10" x14ac:dyDescent="0.3">
      <c r="F68" s="150" t="s">
        <v>177</v>
      </c>
      <c r="G68" s="157"/>
      <c r="H68" s="163">
        <f>POWER((3*G67)/(4*PI()),1/3)</f>
        <v>0</v>
      </c>
    </row>
  </sheetData>
  <mergeCells count="5">
    <mergeCell ref="E9:H9"/>
    <mergeCell ref="E22:H22"/>
    <mergeCell ref="E37:H37"/>
    <mergeCell ref="F52:I52"/>
    <mergeCell ref="F65:J6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8B07-AE74-4A13-B69B-331988B1BDEE}">
  <sheetPr codeName="Feuil4"/>
  <dimension ref="A2:P106"/>
  <sheetViews>
    <sheetView zoomScale="93" zoomScaleNormal="42" workbookViewId="0">
      <selection activeCell="D7" sqref="D7"/>
    </sheetView>
  </sheetViews>
  <sheetFormatPr baseColWidth="10" defaultRowHeight="14.4" x14ac:dyDescent="0.3"/>
  <cols>
    <col min="5" max="5" width="3.88671875" customWidth="1"/>
    <col min="6" max="6" width="11.5546875" customWidth="1"/>
  </cols>
  <sheetData>
    <row r="2" spans="1:12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8" x14ac:dyDescent="0.3">
      <c r="A3" s="32"/>
      <c r="B3" s="397" t="s">
        <v>118</v>
      </c>
      <c r="C3" s="397"/>
      <c r="D3" s="32"/>
      <c r="E3" s="32"/>
      <c r="F3" s="32"/>
      <c r="K3" s="32"/>
      <c r="L3" s="32"/>
    </row>
    <row r="4" spans="1:12" x14ac:dyDescent="0.3">
      <c r="A4" s="32"/>
      <c r="B4" s="222" t="s">
        <v>119</v>
      </c>
      <c r="C4" s="222"/>
      <c r="D4" s="224">
        <v>100</v>
      </c>
      <c r="E4" s="32"/>
      <c r="F4" s="32"/>
      <c r="K4" s="32"/>
      <c r="L4" s="32"/>
    </row>
    <row r="5" spans="1:12" x14ac:dyDescent="0.3">
      <c r="A5" s="32"/>
      <c r="B5" s="223" t="s">
        <v>120</v>
      </c>
      <c r="C5" s="223"/>
      <c r="D5" s="224">
        <v>40</v>
      </c>
      <c r="E5" s="32"/>
      <c r="F5" s="32"/>
      <c r="K5" s="32"/>
      <c r="L5" s="32"/>
    </row>
    <row r="6" spans="1:12" x14ac:dyDescent="0.3">
      <c r="A6" s="32"/>
      <c r="B6" s="398" t="s">
        <v>121</v>
      </c>
      <c r="C6" s="398"/>
      <c r="D6" s="222">
        <f>D5/D4*100</f>
        <v>40</v>
      </c>
      <c r="E6" s="32" t="s">
        <v>122</v>
      </c>
      <c r="F6" s="32"/>
      <c r="K6" s="32"/>
      <c r="L6" s="32"/>
    </row>
    <row r="7" spans="1:12" x14ac:dyDescent="0.3">
      <c r="A7" s="32"/>
      <c r="B7" s="32"/>
      <c r="C7" s="32"/>
      <c r="D7" s="32"/>
      <c r="E7" s="32"/>
      <c r="F7" s="32"/>
      <c r="G7" s="183"/>
      <c r="H7" s="183"/>
      <c r="I7" s="183"/>
      <c r="K7" s="32"/>
      <c r="L7" s="32"/>
    </row>
    <row r="8" spans="1:12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34" spans="1:14" x14ac:dyDescent="0.3">
      <c r="B34" s="363" t="s">
        <v>48</v>
      </c>
      <c r="C34" s="364"/>
      <c r="D34" s="375" t="s">
        <v>40</v>
      </c>
      <c r="E34" s="363" t="s">
        <v>47</v>
      </c>
      <c r="F34" s="365"/>
      <c r="G34" s="366"/>
    </row>
    <row r="35" spans="1:14" ht="18.600000000000001" thickBot="1" x14ac:dyDescent="0.4">
      <c r="B35" s="111" t="s">
        <v>40</v>
      </c>
      <c r="C35" s="112" t="s">
        <v>110</v>
      </c>
      <c r="D35" s="376"/>
      <c r="E35" s="401" t="s">
        <v>40</v>
      </c>
      <c r="F35" s="402"/>
      <c r="G35" s="229">
        <f>SQRT(C37^2-C36^2)</f>
        <v>0</v>
      </c>
    </row>
    <row r="36" spans="1:14" x14ac:dyDescent="0.3">
      <c r="B36" s="104" t="s">
        <v>41</v>
      </c>
      <c r="C36" s="151">
        <f>J43</f>
        <v>0</v>
      </c>
      <c r="D36" s="376"/>
      <c r="E36" s="401" t="s">
        <v>41</v>
      </c>
      <c r="F36" s="403"/>
      <c r="G36" s="124"/>
    </row>
    <row r="37" spans="1:14" x14ac:dyDescent="0.3">
      <c r="B37" s="226" t="s">
        <v>42</v>
      </c>
      <c r="C37" s="113">
        <f>N40</f>
        <v>0</v>
      </c>
      <c r="D37" s="377"/>
      <c r="E37" s="404" t="s">
        <v>42</v>
      </c>
      <c r="F37" s="405"/>
      <c r="G37" s="125"/>
    </row>
    <row r="38" spans="1:14" x14ac:dyDescent="0.3">
      <c r="B38" s="1"/>
      <c r="C38" s="1"/>
      <c r="D38" s="12"/>
      <c r="E38" s="12"/>
      <c r="F38" s="12"/>
      <c r="G38" s="12"/>
    </row>
    <row r="39" spans="1:14" x14ac:dyDescent="0.3">
      <c r="B39" s="1"/>
      <c r="C39" s="1"/>
      <c r="D39" s="12"/>
      <c r="E39" s="12"/>
      <c r="F39" s="12"/>
      <c r="G39" s="12"/>
    </row>
    <row r="40" spans="1:14" x14ac:dyDescent="0.3">
      <c r="B40" s="367" t="s">
        <v>48</v>
      </c>
      <c r="C40" s="368"/>
      <c r="D40" s="378" t="s">
        <v>41</v>
      </c>
      <c r="E40" s="369" t="s">
        <v>47</v>
      </c>
      <c r="F40" s="369"/>
      <c r="G40" s="370"/>
      <c r="M40" s="127" t="s">
        <v>113</v>
      </c>
      <c r="N40" s="117"/>
    </row>
    <row r="41" spans="1:14" ht="15" thickBot="1" x14ac:dyDescent="0.35">
      <c r="B41" s="105" t="s">
        <v>40</v>
      </c>
      <c r="C41" s="106">
        <f>M48</f>
        <v>0</v>
      </c>
      <c r="D41" s="379"/>
      <c r="E41" s="399" t="s">
        <v>40</v>
      </c>
      <c r="F41" s="400"/>
      <c r="G41" s="123"/>
    </row>
    <row r="42" spans="1:14" ht="18.600000000000001" thickBot="1" x14ac:dyDescent="0.4">
      <c r="B42" s="116" t="s">
        <v>41</v>
      </c>
      <c r="C42" s="115" t="s">
        <v>110</v>
      </c>
      <c r="D42" s="379"/>
      <c r="E42" s="395" t="s">
        <v>41</v>
      </c>
      <c r="F42" s="396"/>
      <c r="G42" s="107">
        <f>SQRT(C43^2-C41^2)</f>
        <v>0</v>
      </c>
    </row>
    <row r="43" spans="1:14" ht="15.6" x14ac:dyDescent="0.3">
      <c r="B43" s="230" t="s">
        <v>42</v>
      </c>
      <c r="C43" s="114">
        <f>N40</f>
        <v>0</v>
      </c>
      <c r="D43" s="380"/>
      <c r="E43" s="393" t="s">
        <v>42</v>
      </c>
      <c r="F43" s="394"/>
      <c r="G43" s="122"/>
      <c r="I43" s="129" t="s">
        <v>111</v>
      </c>
      <c r="J43" s="114"/>
    </row>
    <row r="44" spans="1:14" x14ac:dyDescent="0.3">
      <c r="A44" s="1"/>
      <c r="D44" s="1"/>
      <c r="I44" s="44"/>
    </row>
    <row r="45" spans="1:14" x14ac:dyDescent="0.3">
      <c r="A45" s="1"/>
      <c r="D45" s="1"/>
    </row>
    <row r="46" spans="1:14" x14ac:dyDescent="0.3">
      <c r="B46" s="371" t="s">
        <v>48</v>
      </c>
      <c r="C46" s="372"/>
      <c r="D46" s="381" t="s">
        <v>42</v>
      </c>
      <c r="E46" s="371" t="s">
        <v>47</v>
      </c>
      <c r="F46" s="373"/>
      <c r="G46" s="374"/>
    </row>
    <row r="47" spans="1:14" x14ac:dyDescent="0.3">
      <c r="B47" s="108" t="s">
        <v>40</v>
      </c>
      <c r="C47" s="109">
        <f>M48</f>
        <v>0</v>
      </c>
      <c r="D47" s="382"/>
      <c r="E47" s="392" t="s">
        <v>40</v>
      </c>
      <c r="F47" s="372"/>
      <c r="G47" s="120"/>
    </row>
    <row r="48" spans="1:14" ht="16.2" thickBot="1" x14ac:dyDescent="0.35">
      <c r="B48" s="108" t="s">
        <v>41</v>
      </c>
      <c r="C48" s="109">
        <f>J43</f>
        <v>0</v>
      </c>
      <c r="D48" s="382"/>
      <c r="E48" s="389" t="s">
        <v>41</v>
      </c>
      <c r="F48" s="390"/>
      <c r="G48" s="121"/>
      <c r="L48" s="128" t="s">
        <v>112</v>
      </c>
      <c r="M48" s="113"/>
    </row>
    <row r="49" spans="2:10" ht="18.600000000000001" thickBot="1" x14ac:dyDescent="0.4">
      <c r="B49" s="119" t="s">
        <v>42</v>
      </c>
      <c r="C49" s="118" t="s">
        <v>110</v>
      </c>
      <c r="D49" s="383"/>
      <c r="E49" s="389" t="s">
        <v>42</v>
      </c>
      <c r="F49" s="391"/>
      <c r="G49" s="110">
        <f>SQRT(C47^2+C48^2)</f>
        <v>0</v>
      </c>
    </row>
    <row r="52" spans="2:10" ht="15" thickBot="1" x14ac:dyDescent="0.35">
      <c r="J52" t="s">
        <v>49</v>
      </c>
    </row>
    <row r="53" spans="2:10" ht="22.2" thickTop="1" thickBot="1" x14ac:dyDescent="0.45">
      <c r="B53" s="384" t="s">
        <v>118</v>
      </c>
      <c r="C53" s="384"/>
      <c r="D53" s="384"/>
      <c r="E53" s="384"/>
      <c r="F53" s="231"/>
    </row>
    <row r="54" spans="2:10" ht="15" thickTop="1" x14ac:dyDescent="0.3">
      <c r="B54" s="385" t="s">
        <v>414</v>
      </c>
      <c r="C54" s="386"/>
      <c r="D54" s="227">
        <v>50</v>
      </c>
      <c r="E54" s="233" t="s">
        <v>82</v>
      </c>
      <c r="F54" s="232"/>
    </row>
    <row r="55" spans="2:10" x14ac:dyDescent="0.3">
      <c r="B55" s="350" t="s">
        <v>415</v>
      </c>
      <c r="C55" s="351"/>
      <c r="D55" s="157">
        <v>20</v>
      </c>
      <c r="E55" s="228" t="s">
        <v>82</v>
      </c>
      <c r="F55" s="6"/>
    </row>
    <row r="56" spans="2:10" x14ac:dyDescent="0.3">
      <c r="B56" s="387" t="s">
        <v>416</v>
      </c>
      <c r="C56" s="388"/>
      <c r="D56" s="162">
        <f>D55/D54*100</f>
        <v>40</v>
      </c>
      <c r="E56" s="234" t="s">
        <v>122</v>
      </c>
      <c r="F56" s="232"/>
    </row>
    <row r="57" spans="2:10" x14ac:dyDescent="0.3">
      <c r="E57" s="126"/>
      <c r="F57" s="126"/>
      <c r="G57" s="126"/>
    </row>
    <row r="91" spans="12:16" ht="18" x14ac:dyDescent="0.35">
      <c r="L91" s="360" t="s">
        <v>54</v>
      </c>
      <c r="M91" s="361"/>
      <c r="N91" s="361"/>
      <c r="O91" s="361"/>
      <c r="P91" s="362"/>
    </row>
    <row r="92" spans="12:16" x14ac:dyDescent="0.3">
      <c r="L92" s="11"/>
      <c r="M92" s="1"/>
      <c r="N92" s="1"/>
      <c r="O92" s="1"/>
      <c r="P92" s="7"/>
    </row>
    <row r="93" spans="12:16" x14ac:dyDescent="0.3">
      <c r="L93" s="13"/>
      <c r="M93" s="12" t="s">
        <v>50</v>
      </c>
      <c r="N93" s="12"/>
      <c r="O93" s="1"/>
      <c r="P93" s="7"/>
    </row>
    <row r="94" spans="12:16" x14ac:dyDescent="0.3">
      <c r="L94" s="13" t="s">
        <v>53</v>
      </c>
      <c r="M94" s="16" t="s">
        <v>56</v>
      </c>
      <c r="N94" s="12" t="s">
        <v>52</v>
      </c>
      <c r="O94" s="17" t="s">
        <v>56</v>
      </c>
      <c r="P94" s="7">
        <f>O93/O95</f>
        <v>0</v>
      </c>
    </row>
    <row r="95" spans="12:16" x14ac:dyDescent="0.3">
      <c r="L95" s="13"/>
      <c r="M95" s="12" t="s">
        <v>51</v>
      </c>
      <c r="N95" s="12"/>
      <c r="O95" s="1">
        <v>1</v>
      </c>
      <c r="P95" s="7"/>
    </row>
    <row r="96" spans="12:16" x14ac:dyDescent="0.3">
      <c r="L96" s="11"/>
      <c r="M96" s="1"/>
      <c r="N96" s="1"/>
      <c r="O96" s="1"/>
      <c r="P96" s="7"/>
    </row>
    <row r="97" spans="12:16" x14ac:dyDescent="0.3">
      <c r="L97" s="11"/>
      <c r="M97" s="1"/>
      <c r="N97" s="1"/>
      <c r="O97" s="1"/>
      <c r="P97" s="7"/>
    </row>
    <row r="98" spans="12:16" x14ac:dyDescent="0.3">
      <c r="L98" s="13"/>
      <c r="M98" s="12" t="s">
        <v>55</v>
      </c>
      <c r="N98" s="12"/>
      <c r="O98" s="12"/>
      <c r="P98" s="14"/>
    </row>
    <row r="99" spans="12:16" x14ac:dyDescent="0.3">
      <c r="L99" s="13" t="s">
        <v>57</v>
      </c>
      <c r="M99" s="16" t="s">
        <v>56</v>
      </c>
      <c r="N99" s="12" t="s">
        <v>52</v>
      </c>
      <c r="O99" s="16" t="s">
        <v>56</v>
      </c>
      <c r="P99" s="14" t="e">
        <f>O98/O100</f>
        <v>#DIV/0!</v>
      </c>
    </row>
    <row r="100" spans="12:16" x14ac:dyDescent="0.3">
      <c r="L100" s="13"/>
      <c r="M100" s="12" t="s">
        <v>51</v>
      </c>
      <c r="N100" s="12"/>
      <c r="O100" s="12"/>
      <c r="P100" s="14"/>
    </row>
    <row r="101" spans="12:16" x14ac:dyDescent="0.3">
      <c r="L101" s="11"/>
      <c r="M101" s="1"/>
      <c r="N101" s="1"/>
      <c r="O101" s="1"/>
      <c r="P101" s="7"/>
    </row>
    <row r="102" spans="12:16" x14ac:dyDescent="0.3">
      <c r="L102" s="11"/>
      <c r="M102" s="1"/>
      <c r="N102" s="1"/>
      <c r="O102" s="1"/>
      <c r="P102" s="7"/>
    </row>
    <row r="103" spans="12:16" x14ac:dyDescent="0.3">
      <c r="L103" s="13"/>
      <c r="M103" s="12" t="s">
        <v>50</v>
      </c>
      <c r="N103" s="12"/>
      <c r="O103" s="12"/>
      <c r="P103" s="14"/>
    </row>
    <row r="104" spans="12:16" x14ac:dyDescent="0.3">
      <c r="L104" s="13" t="s">
        <v>58</v>
      </c>
      <c r="M104" s="16" t="s">
        <v>56</v>
      </c>
      <c r="N104" s="12" t="s">
        <v>52</v>
      </c>
      <c r="O104" s="12" t="s">
        <v>56</v>
      </c>
      <c r="P104" s="14" t="e">
        <f>O103/O105</f>
        <v>#DIV/0!</v>
      </c>
    </row>
    <row r="105" spans="12:16" x14ac:dyDescent="0.3">
      <c r="L105" s="13"/>
      <c r="M105" s="12" t="s">
        <v>55</v>
      </c>
      <c r="N105" s="12"/>
      <c r="O105" s="12"/>
      <c r="P105" s="14"/>
    </row>
    <row r="106" spans="12:16" x14ac:dyDescent="0.3">
      <c r="L106" s="18"/>
      <c r="M106" s="8"/>
      <c r="N106" s="8"/>
      <c r="O106" s="8"/>
      <c r="P106" s="9"/>
    </row>
  </sheetData>
  <mergeCells count="25">
    <mergeCell ref="E47:F47"/>
    <mergeCell ref="E43:F43"/>
    <mergeCell ref="E42:F42"/>
    <mergeCell ref="B3:C3"/>
    <mergeCell ref="B6:C6"/>
    <mergeCell ref="E41:F41"/>
    <mergeCell ref="E35:F35"/>
    <mergeCell ref="E36:F36"/>
    <mergeCell ref="E37:F37"/>
    <mergeCell ref="L91:P91"/>
    <mergeCell ref="B34:C34"/>
    <mergeCell ref="E34:G34"/>
    <mergeCell ref="B40:C40"/>
    <mergeCell ref="E40:G40"/>
    <mergeCell ref="B46:C46"/>
    <mergeCell ref="E46:G46"/>
    <mergeCell ref="D34:D37"/>
    <mergeCell ref="D40:D43"/>
    <mergeCell ref="D46:D49"/>
    <mergeCell ref="B53:E53"/>
    <mergeCell ref="B54:C54"/>
    <mergeCell ref="B55:C55"/>
    <mergeCell ref="B56:C56"/>
    <mergeCell ref="E48:F48"/>
    <mergeCell ref="E49:F4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7341-5FD5-4FA0-9363-5CC2A9D6E4F9}">
  <dimension ref="F3:T102"/>
  <sheetViews>
    <sheetView topLeftCell="A67" zoomScale="69" workbookViewId="0">
      <selection activeCell="H37" sqref="H37"/>
    </sheetView>
  </sheetViews>
  <sheetFormatPr baseColWidth="10" defaultRowHeight="14.4" x14ac:dyDescent="0.3"/>
  <cols>
    <col min="1" max="16384" width="11.5546875" style="32"/>
  </cols>
  <sheetData>
    <row r="3" spans="10:20" ht="18" x14ac:dyDescent="0.3">
      <c r="J3" s="406" t="s">
        <v>76</v>
      </c>
      <c r="K3" s="411"/>
      <c r="L3" s="411"/>
      <c r="M3" s="411"/>
      <c r="N3" s="412"/>
      <c r="P3" s="406" t="s">
        <v>78</v>
      </c>
      <c r="Q3" s="407"/>
      <c r="R3" s="407"/>
      <c r="S3" s="407"/>
      <c r="T3" s="408"/>
    </row>
    <row r="5" spans="10:20" ht="18" x14ac:dyDescent="0.3">
      <c r="J5" s="410" t="s">
        <v>74</v>
      </c>
      <c r="K5" s="410"/>
      <c r="L5" s="410"/>
      <c r="M5" s="410"/>
      <c r="N5" s="410"/>
      <c r="P5" s="410" t="s">
        <v>74</v>
      </c>
      <c r="Q5" s="410"/>
      <c r="R5" s="410"/>
      <c r="S5" s="410"/>
      <c r="T5" s="410"/>
    </row>
    <row r="6" spans="10:20" x14ac:dyDescent="0.3">
      <c r="J6" s="37"/>
      <c r="K6" s="37"/>
      <c r="L6" s="37"/>
      <c r="M6" s="37"/>
      <c r="N6" s="37"/>
      <c r="P6" s="37"/>
      <c r="Q6" s="37"/>
      <c r="R6" s="37"/>
      <c r="S6" s="37"/>
      <c r="T6" s="37"/>
    </row>
    <row r="7" spans="10:20" x14ac:dyDescent="0.3">
      <c r="J7" s="37"/>
      <c r="K7" s="413" t="s">
        <v>75</v>
      </c>
      <c r="L7" s="413"/>
      <c r="M7" s="38"/>
      <c r="N7" s="37" t="s">
        <v>7</v>
      </c>
      <c r="P7" s="37"/>
      <c r="Q7" s="37"/>
      <c r="R7" s="37" t="s">
        <v>75</v>
      </c>
      <c r="S7" s="38"/>
      <c r="T7" s="37" t="s">
        <v>7</v>
      </c>
    </row>
    <row r="8" spans="10:20" x14ac:dyDescent="0.3">
      <c r="J8" s="37"/>
      <c r="K8" s="413"/>
      <c r="L8" s="413"/>
      <c r="M8" s="413"/>
      <c r="N8" s="413"/>
      <c r="P8" s="37"/>
      <c r="Q8" s="413" t="s">
        <v>77</v>
      </c>
      <c r="R8" s="413"/>
      <c r="S8" s="38"/>
      <c r="T8" s="37"/>
    </row>
    <row r="9" spans="10:20" x14ac:dyDescent="0.3">
      <c r="J9" s="37"/>
      <c r="K9" s="413"/>
      <c r="L9" s="413"/>
      <c r="M9" s="413"/>
      <c r="N9" s="413"/>
      <c r="P9" s="37"/>
      <c r="Q9" s="37"/>
      <c r="R9" s="37"/>
      <c r="S9" s="37"/>
      <c r="T9" s="37"/>
    </row>
    <row r="10" spans="10:20" x14ac:dyDescent="0.3">
      <c r="J10" s="37"/>
      <c r="K10" s="45"/>
      <c r="L10" s="45"/>
      <c r="M10" s="37"/>
      <c r="N10" s="37"/>
      <c r="P10" s="37"/>
      <c r="Q10" s="37"/>
      <c r="R10" s="37"/>
      <c r="S10" s="37"/>
      <c r="T10" s="37"/>
    </row>
    <row r="11" spans="10:20" x14ac:dyDescent="0.3">
      <c r="J11" s="414" t="s">
        <v>83</v>
      </c>
      <c r="K11" s="414"/>
      <c r="L11" s="414"/>
      <c r="M11" s="39">
        <f>M7</f>
        <v>0</v>
      </c>
      <c r="N11" s="37" t="s">
        <v>7</v>
      </c>
      <c r="P11" s="414" t="s">
        <v>91</v>
      </c>
      <c r="Q11" s="414"/>
      <c r="R11" s="414"/>
      <c r="S11" s="46" t="e">
        <f>S7/S8</f>
        <v>#DIV/0!</v>
      </c>
      <c r="T11" s="37" t="s">
        <v>7</v>
      </c>
    </row>
    <row r="14" spans="10:20" ht="18" x14ac:dyDescent="0.3">
      <c r="J14" s="410" t="s">
        <v>75</v>
      </c>
      <c r="K14" s="410"/>
      <c r="L14" s="410"/>
      <c r="M14" s="410"/>
      <c r="N14" s="410"/>
      <c r="P14" s="410" t="s">
        <v>75</v>
      </c>
      <c r="Q14" s="410"/>
      <c r="R14" s="410"/>
      <c r="S14" s="410"/>
      <c r="T14" s="410"/>
    </row>
    <row r="15" spans="10:20" x14ac:dyDescent="0.3">
      <c r="J15" s="33"/>
      <c r="K15" s="33"/>
      <c r="L15" s="33"/>
      <c r="M15" s="33"/>
      <c r="N15" s="33"/>
      <c r="P15" s="33"/>
      <c r="Q15" s="33"/>
      <c r="R15" s="33"/>
      <c r="S15" s="33"/>
      <c r="T15" s="33"/>
    </row>
    <row r="16" spans="10:20" x14ac:dyDescent="0.3">
      <c r="J16" s="33"/>
      <c r="K16" s="409" t="s">
        <v>74</v>
      </c>
      <c r="L16" s="409"/>
      <c r="M16" s="35"/>
      <c r="N16" s="33" t="s">
        <v>7</v>
      </c>
      <c r="P16" s="33"/>
      <c r="Q16" s="409" t="s">
        <v>74</v>
      </c>
      <c r="R16" s="409"/>
      <c r="S16" s="35"/>
      <c r="T16" s="33" t="s">
        <v>7</v>
      </c>
    </row>
    <row r="17" spans="10:20" x14ac:dyDescent="0.3">
      <c r="J17" s="33"/>
      <c r="K17" s="409"/>
      <c r="L17" s="409"/>
      <c r="M17" s="33"/>
      <c r="N17" s="33"/>
      <c r="P17" s="33"/>
      <c r="Q17" s="409" t="s">
        <v>77</v>
      </c>
      <c r="R17" s="409"/>
      <c r="S17" s="35"/>
      <c r="T17" s="33"/>
    </row>
    <row r="18" spans="10:20" x14ac:dyDescent="0.3">
      <c r="J18" s="33"/>
      <c r="K18" s="409"/>
      <c r="L18" s="409"/>
      <c r="M18" s="409"/>
      <c r="N18" s="409"/>
      <c r="P18" s="33"/>
      <c r="Q18" s="409"/>
      <c r="R18" s="409"/>
      <c r="S18" s="409"/>
      <c r="T18" s="409"/>
    </row>
    <row r="19" spans="10:20" x14ac:dyDescent="0.3">
      <c r="J19" s="33"/>
      <c r="K19" s="34"/>
      <c r="L19" s="34"/>
      <c r="M19" s="33"/>
      <c r="N19" s="33"/>
      <c r="P19" s="33"/>
      <c r="Q19" s="34"/>
      <c r="R19" s="34"/>
      <c r="S19" s="33"/>
      <c r="T19" s="33"/>
    </row>
    <row r="20" spans="10:20" x14ac:dyDescent="0.3">
      <c r="J20" s="47"/>
      <c r="K20" s="419" t="s">
        <v>86</v>
      </c>
      <c r="L20" s="420"/>
      <c r="M20" s="36">
        <f>M16</f>
        <v>0</v>
      </c>
      <c r="N20" s="33" t="s">
        <v>7</v>
      </c>
      <c r="P20" s="419" t="s">
        <v>88</v>
      </c>
      <c r="Q20" s="419"/>
      <c r="R20" s="419"/>
      <c r="S20" s="36">
        <f>S16*S17</f>
        <v>0</v>
      </c>
      <c r="T20" s="33" t="s">
        <v>7</v>
      </c>
    </row>
    <row r="23" spans="10:20" ht="18" x14ac:dyDescent="0.3">
      <c r="J23" s="410" t="s">
        <v>79</v>
      </c>
      <c r="K23" s="410"/>
      <c r="L23" s="410"/>
      <c r="M23" s="410"/>
      <c r="N23" s="410"/>
      <c r="P23" s="410" t="s">
        <v>79</v>
      </c>
      <c r="Q23" s="410"/>
      <c r="R23" s="410"/>
      <c r="S23" s="410"/>
      <c r="T23" s="410"/>
    </row>
    <row r="24" spans="10:20" x14ac:dyDescent="0.3">
      <c r="J24" s="40"/>
      <c r="K24" s="40"/>
      <c r="L24" s="40"/>
      <c r="M24" s="40"/>
      <c r="N24" s="40"/>
      <c r="P24" s="40"/>
      <c r="Q24" s="40"/>
      <c r="R24" s="40"/>
      <c r="S24" s="40"/>
      <c r="T24" s="40"/>
    </row>
    <row r="25" spans="10:20" x14ac:dyDescent="0.3">
      <c r="J25" s="40"/>
      <c r="K25" s="40"/>
      <c r="L25" s="41" t="s">
        <v>84</v>
      </c>
      <c r="M25" s="42"/>
      <c r="N25" s="40" t="s">
        <v>82</v>
      </c>
      <c r="P25" s="40"/>
      <c r="Q25" s="40"/>
      <c r="R25" s="41" t="s">
        <v>84</v>
      </c>
      <c r="S25" s="42"/>
      <c r="T25" s="40" t="s">
        <v>82</v>
      </c>
    </row>
    <row r="26" spans="10:20" x14ac:dyDescent="0.3">
      <c r="J26" s="40"/>
      <c r="K26" s="40"/>
      <c r="L26" s="40"/>
      <c r="M26" s="40"/>
      <c r="N26" s="40"/>
      <c r="P26" s="40"/>
      <c r="Q26" s="415" t="s">
        <v>77</v>
      </c>
      <c r="R26" s="415"/>
      <c r="S26" s="42"/>
      <c r="T26" s="40"/>
    </row>
    <row r="27" spans="10:20" x14ac:dyDescent="0.3">
      <c r="J27" s="40"/>
      <c r="K27" s="40"/>
      <c r="L27" s="40"/>
      <c r="M27" s="40"/>
      <c r="N27" s="40"/>
      <c r="P27" s="40"/>
      <c r="Q27" s="40"/>
      <c r="R27" s="40"/>
      <c r="S27" s="40"/>
      <c r="T27" s="40"/>
    </row>
    <row r="28" spans="10:20" x14ac:dyDescent="0.3">
      <c r="J28" s="40"/>
      <c r="K28" s="40"/>
      <c r="L28" s="40"/>
      <c r="M28" s="40"/>
      <c r="N28" s="40"/>
      <c r="P28" s="40"/>
      <c r="Q28" s="40"/>
      <c r="R28" s="40"/>
      <c r="S28" s="40"/>
      <c r="T28" s="40"/>
    </row>
    <row r="29" spans="10:20" x14ac:dyDescent="0.3">
      <c r="J29" s="40"/>
      <c r="K29" s="418" t="s">
        <v>85</v>
      </c>
      <c r="L29" s="418"/>
      <c r="M29" s="43">
        <f>M25</f>
        <v>0</v>
      </c>
      <c r="N29" s="40" t="s">
        <v>82</v>
      </c>
      <c r="P29" s="415" t="s">
        <v>89</v>
      </c>
      <c r="Q29" s="415"/>
      <c r="R29" s="416"/>
      <c r="S29" s="43" t="e">
        <f>S25/S26</f>
        <v>#DIV/0!</v>
      </c>
      <c r="T29" s="40" t="s">
        <v>82</v>
      </c>
    </row>
    <row r="32" spans="10:20" ht="18" x14ac:dyDescent="0.3">
      <c r="J32" s="410" t="s">
        <v>80</v>
      </c>
      <c r="K32" s="410"/>
      <c r="L32" s="410"/>
      <c r="M32" s="410"/>
      <c r="N32" s="410"/>
      <c r="P32" s="410" t="s">
        <v>80</v>
      </c>
      <c r="Q32" s="410"/>
      <c r="R32" s="410"/>
      <c r="S32" s="410"/>
      <c r="T32" s="410"/>
    </row>
    <row r="33" spans="10:20" x14ac:dyDescent="0.3">
      <c r="J33" s="48"/>
      <c r="K33" s="48"/>
      <c r="L33" s="48"/>
      <c r="M33" s="48"/>
      <c r="N33" s="48"/>
      <c r="P33" s="48"/>
      <c r="Q33" s="48"/>
      <c r="R33" s="48"/>
      <c r="S33" s="48"/>
      <c r="T33" s="48"/>
    </row>
    <row r="34" spans="10:20" x14ac:dyDescent="0.3">
      <c r="J34" s="48"/>
      <c r="K34" s="48"/>
      <c r="L34" s="49" t="s">
        <v>81</v>
      </c>
      <c r="M34" s="50"/>
      <c r="N34" s="48" t="s">
        <v>82</v>
      </c>
      <c r="P34" s="48"/>
      <c r="Q34" s="48"/>
      <c r="R34" s="49" t="s">
        <v>81</v>
      </c>
      <c r="S34" s="50"/>
      <c r="T34" s="48" t="s">
        <v>82</v>
      </c>
    </row>
    <row r="35" spans="10:20" x14ac:dyDescent="0.3">
      <c r="J35" s="48"/>
      <c r="K35" s="48"/>
      <c r="L35" s="48"/>
      <c r="M35" s="48"/>
      <c r="N35" s="48"/>
      <c r="P35" s="48"/>
      <c r="Q35" s="417" t="s">
        <v>77</v>
      </c>
      <c r="R35" s="417"/>
      <c r="S35" s="50"/>
      <c r="T35" s="48"/>
    </row>
    <row r="36" spans="10:20" x14ac:dyDescent="0.3">
      <c r="J36" s="48"/>
      <c r="K36" s="48"/>
      <c r="L36" s="48"/>
      <c r="M36" s="48"/>
      <c r="N36" s="48"/>
      <c r="P36" s="48"/>
      <c r="Q36" s="48"/>
      <c r="R36" s="48"/>
      <c r="S36" s="48"/>
      <c r="T36" s="48"/>
    </row>
    <row r="37" spans="10:20" x14ac:dyDescent="0.3">
      <c r="J37" s="48"/>
      <c r="K37" s="48"/>
      <c r="L37" s="48"/>
      <c r="M37" s="48"/>
      <c r="N37" s="48"/>
      <c r="P37" s="48"/>
      <c r="Q37" s="48"/>
      <c r="R37" s="48"/>
      <c r="S37" s="48"/>
      <c r="T37" s="48"/>
    </row>
    <row r="38" spans="10:20" x14ac:dyDescent="0.3">
      <c r="J38" s="48"/>
      <c r="K38" s="421" t="s">
        <v>87</v>
      </c>
      <c r="L38" s="421"/>
      <c r="M38" s="51">
        <f>M34</f>
        <v>0</v>
      </c>
      <c r="N38" s="48" t="s">
        <v>82</v>
      </c>
      <c r="P38" s="421" t="s">
        <v>90</v>
      </c>
      <c r="Q38" s="421"/>
      <c r="R38" s="424"/>
      <c r="S38" s="51">
        <f>S34*S35</f>
        <v>0</v>
      </c>
      <c r="T38" s="48" t="s">
        <v>82</v>
      </c>
    </row>
    <row r="45" spans="10:20" s="52" customFormat="1" x14ac:dyDescent="0.3"/>
    <row r="46" spans="10:20" s="53" customFormat="1" x14ac:dyDescent="0.3"/>
    <row r="47" spans="10:20" s="53" customFormat="1" x14ac:dyDescent="0.3"/>
    <row r="48" spans="10:20" s="53" customFormat="1" x14ac:dyDescent="0.3"/>
    <row r="49" spans="6:20" s="53" customFormat="1" x14ac:dyDescent="0.3">
      <c r="F49" s="422" t="s">
        <v>96</v>
      </c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</row>
    <row r="50" spans="6:20" s="53" customFormat="1" x14ac:dyDescent="0.3"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</row>
    <row r="52" spans="6:20" ht="18" x14ac:dyDescent="0.3">
      <c r="J52" s="410" t="s">
        <v>64</v>
      </c>
      <c r="K52" s="410"/>
      <c r="L52" s="410"/>
      <c r="M52" s="410"/>
      <c r="N52" s="410"/>
      <c r="P52" s="410" t="s">
        <v>4</v>
      </c>
      <c r="Q52" s="410"/>
      <c r="R52" s="410"/>
      <c r="S52" s="410"/>
      <c r="T52" s="410"/>
    </row>
    <row r="53" spans="6:20" x14ac:dyDescent="0.3">
      <c r="J53" s="48"/>
      <c r="K53" s="48"/>
      <c r="L53" s="48"/>
      <c r="M53" s="48"/>
      <c r="N53" s="48"/>
      <c r="P53" s="48"/>
      <c r="Q53" s="48"/>
      <c r="R53" s="48"/>
      <c r="S53" s="48"/>
      <c r="T53" s="48"/>
    </row>
    <row r="54" spans="6:20" x14ac:dyDescent="0.3">
      <c r="J54" s="48"/>
      <c r="K54" s="48"/>
      <c r="L54" s="49" t="s">
        <v>4</v>
      </c>
      <c r="M54" s="50"/>
      <c r="N54" s="48" t="s">
        <v>7</v>
      </c>
      <c r="P54" s="48"/>
      <c r="Q54" s="48"/>
      <c r="R54" s="49" t="s">
        <v>64</v>
      </c>
      <c r="S54" s="50"/>
      <c r="T54" s="48" t="s">
        <v>65</v>
      </c>
    </row>
    <row r="55" spans="6:20" x14ac:dyDescent="0.3">
      <c r="J55" s="48"/>
      <c r="K55" s="48"/>
      <c r="L55" s="48" t="s">
        <v>92</v>
      </c>
      <c r="M55" s="50"/>
      <c r="N55" s="48" t="s">
        <v>82</v>
      </c>
      <c r="P55" s="48"/>
      <c r="Q55" s="48"/>
      <c r="R55" s="48" t="s">
        <v>92</v>
      </c>
      <c r="S55" s="50"/>
      <c r="T55" s="48" t="s">
        <v>82</v>
      </c>
    </row>
    <row r="56" spans="6:20" x14ac:dyDescent="0.3">
      <c r="J56" s="48"/>
      <c r="K56" s="48"/>
      <c r="L56" s="48"/>
      <c r="M56" s="48"/>
      <c r="N56" s="48"/>
      <c r="P56" s="48"/>
      <c r="Q56" s="48"/>
      <c r="R56" s="48"/>
      <c r="S56" s="48"/>
      <c r="T56" s="48"/>
    </row>
    <row r="57" spans="6:20" x14ac:dyDescent="0.3">
      <c r="J57" s="48"/>
      <c r="K57" s="48"/>
      <c r="L57" s="48"/>
      <c r="M57" s="48"/>
      <c r="N57" s="48"/>
      <c r="P57" s="48"/>
      <c r="Q57" s="48"/>
      <c r="R57" s="48"/>
      <c r="S57" s="48"/>
      <c r="T57" s="48"/>
    </row>
    <row r="58" spans="6:20" x14ac:dyDescent="0.3">
      <c r="J58" s="425" t="s">
        <v>93</v>
      </c>
      <c r="K58" s="417"/>
      <c r="L58" s="426"/>
      <c r="M58" s="51">
        <f>M54*M55</f>
        <v>0</v>
      </c>
      <c r="N58" s="48" t="s">
        <v>65</v>
      </c>
      <c r="P58" s="425" t="s">
        <v>94</v>
      </c>
      <c r="Q58" s="417"/>
      <c r="R58" s="426"/>
      <c r="S58" s="51" t="e">
        <f>S54/S55</f>
        <v>#DIV/0!</v>
      </c>
      <c r="T58" s="48" t="s">
        <v>7</v>
      </c>
    </row>
    <row r="61" spans="6:20" ht="18" x14ac:dyDescent="0.3">
      <c r="J61" s="410" t="s">
        <v>92</v>
      </c>
      <c r="K61" s="410"/>
      <c r="L61" s="410"/>
      <c r="M61" s="410"/>
      <c r="N61" s="410"/>
    </row>
    <row r="62" spans="6:20" x14ac:dyDescent="0.3">
      <c r="J62" s="40"/>
      <c r="K62" s="40"/>
      <c r="L62" s="40"/>
      <c r="M62" s="40"/>
      <c r="N62" s="40"/>
    </row>
    <row r="63" spans="6:20" x14ac:dyDescent="0.3">
      <c r="J63" s="40"/>
      <c r="K63" s="40"/>
      <c r="L63" s="41" t="s">
        <v>4</v>
      </c>
      <c r="M63" s="42"/>
      <c r="N63" s="40" t="s">
        <v>7</v>
      </c>
    </row>
    <row r="64" spans="6:20" x14ac:dyDescent="0.3">
      <c r="J64" s="40"/>
      <c r="K64" s="40"/>
      <c r="L64" s="41" t="s">
        <v>64</v>
      </c>
      <c r="M64" s="42"/>
      <c r="N64" s="40" t="s">
        <v>65</v>
      </c>
    </row>
    <row r="65" spans="6:20" x14ac:dyDescent="0.3">
      <c r="J65" s="40"/>
      <c r="K65" s="40"/>
      <c r="L65" s="41"/>
      <c r="M65" s="40"/>
      <c r="N65" s="40"/>
    </row>
    <row r="66" spans="6:20" x14ac:dyDescent="0.3">
      <c r="J66" s="40"/>
      <c r="K66" s="40"/>
      <c r="L66" s="40"/>
      <c r="M66" s="40"/>
      <c r="N66" s="40"/>
    </row>
    <row r="67" spans="6:20" x14ac:dyDescent="0.3">
      <c r="J67" s="415" t="s">
        <v>95</v>
      </c>
      <c r="K67" s="415"/>
      <c r="L67" s="416"/>
      <c r="M67" s="43" t="e">
        <f>M64/M63</f>
        <v>#DIV/0!</v>
      </c>
      <c r="N67" s="40" t="s">
        <v>82</v>
      </c>
    </row>
    <row r="69" spans="6:20" s="52" customFormat="1" x14ac:dyDescent="0.3"/>
    <row r="73" spans="6:20" x14ac:dyDescent="0.3">
      <c r="F73" s="422" t="s">
        <v>92</v>
      </c>
      <c r="G73" s="423"/>
      <c r="H73" s="423"/>
      <c r="I73" s="423"/>
      <c r="J73" s="423"/>
      <c r="K73" s="423"/>
      <c r="L73" s="423"/>
      <c r="M73" s="423"/>
      <c r="N73" s="423"/>
      <c r="O73" s="423"/>
      <c r="P73" s="423"/>
      <c r="Q73" s="423"/>
      <c r="R73" s="423"/>
      <c r="S73" s="423"/>
    </row>
    <row r="74" spans="6:20" x14ac:dyDescent="0.3">
      <c r="F74" s="423"/>
      <c r="G74" s="423"/>
      <c r="H74" s="423"/>
      <c r="I74" s="423"/>
      <c r="J74" s="423"/>
      <c r="K74" s="423"/>
      <c r="L74" s="423"/>
      <c r="M74" s="423"/>
      <c r="N74" s="423"/>
      <c r="O74" s="423"/>
      <c r="P74" s="423"/>
      <c r="Q74" s="423"/>
      <c r="R74" s="423"/>
      <c r="S74" s="423"/>
    </row>
    <row r="76" spans="6:20" x14ac:dyDescent="0.3">
      <c r="J76" s="427" t="s">
        <v>97</v>
      </c>
      <c r="K76" s="427"/>
      <c r="L76" s="427"/>
      <c r="M76" s="427"/>
      <c r="N76" s="427"/>
      <c r="O76" s="427"/>
      <c r="P76" s="427"/>
    </row>
    <row r="78" spans="6:20" ht="18" x14ac:dyDescent="0.3">
      <c r="J78" s="410" t="s">
        <v>74</v>
      </c>
      <c r="K78" s="410"/>
      <c r="L78" s="410"/>
      <c r="M78" s="410"/>
      <c r="N78" s="410"/>
      <c r="P78" s="410" t="s">
        <v>98</v>
      </c>
      <c r="Q78" s="410"/>
      <c r="R78" s="410"/>
      <c r="S78" s="410"/>
      <c r="T78" s="410"/>
    </row>
    <row r="79" spans="6:20" x14ac:dyDescent="0.3">
      <c r="J79" s="40"/>
      <c r="K79" s="40"/>
      <c r="L79" s="40"/>
      <c r="M79" s="40"/>
      <c r="N79" s="40"/>
      <c r="P79" s="40"/>
      <c r="Q79" s="40"/>
      <c r="R79" s="40"/>
      <c r="S79" s="40"/>
      <c r="T79" s="40"/>
    </row>
    <row r="80" spans="6:20" x14ac:dyDescent="0.3">
      <c r="J80" s="40"/>
      <c r="K80" s="415" t="s">
        <v>98</v>
      </c>
      <c r="L80" s="416"/>
      <c r="M80" s="42"/>
      <c r="N80" s="40" t="s">
        <v>82</v>
      </c>
      <c r="P80" s="40"/>
      <c r="Q80" s="415" t="s">
        <v>74</v>
      </c>
      <c r="R80" s="416"/>
      <c r="S80" s="42"/>
      <c r="T80" s="40" t="s">
        <v>7</v>
      </c>
    </row>
    <row r="81" spans="10:20" x14ac:dyDescent="0.3">
      <c r="J81" s="40"/>
      <c r="K81" s="415" t="s">
        <v>75</v>
      </c>
      <c r="L81" s="416"/>
      <c r="M81" s="42"/>
      <c r="N81" s="40" t="s">
        <v>7</v>
      </c>
      <c r="P81" s="40"/>
      <c r="Q81" s="415" t="s">
        <v>75</v>
      </c>
      <c r="R81" s="416"/>
      <c r="S81" s="42"/>
      <c r="T81" s="40" t="s">
        <v>7</v>
      </c>
    </row>
    <row r="82" spans="10:20" x14ac:dyDescent="0.3">
      <c r="J82" s="40"/>
      <c r="K82" s="415" t="s">
        <v>99</v>
      </c>
      <c r="L82" s="415"/>
      <c r="M82" s="42"/>
      <c r="N82" s="40" t="s">
        <v>82</v>
      </c>
      <c r="P82" s="40"/>
      <c r="Q82" s="415" t="s">
        <v>99</v>
      </c>
      <c r="R82" s="415"/>
      <c r="S82" s="42"/>
      <c r="T82" s="40" t="s">
        <v>82</v>
      </c>
    </row>
    <row r="83" spans="10:20" x14ac:dyDescent="0.3">
      <c r="J83" s="40"/>
      <c r="K83" s="40"/>
      <c r="L83" s="40"/>
      <c r="M83" s="40"/>
      <c r="N83" s="40"/>
      <c r="P83" s="40"/>
      <c r="Q83" s="40"/>
      <c r="R83" s="40"/>
      <c r="S83" s="40"/>
      <c r="T83" s="40"/>
    </row>
    <row r="84" spans="10:20" x14ac:dyDescent="0.3">
      <c r="J84" s="415" t="s">
        <v>100</v>
      </c>
      <c r="K84" s="415"/>
      <c r="L84" s="416"/>
      <c r="M84" s="43" t="e">
        <f>(M81*M82)/M80</f>
        <v>#DIV/0!</v>
      </c>
      <c r="N84" s="40" t="s">
        <v>7</v>
      </c>
      <c r="P84" s="415" t="s">
        <v>102</v>
      </c>
      <c r="Q84" s="415"/>
      <c r="R84" s="416"/>
      <c r="S84" s="43" t="e">
        <f>(S81*S82)/S80</f>
        <v>#DIV/0!</v>
      </c>
      <c r="T84" s="40" t="s">
        <v>7</v>
      </c>
    </row>
    <row r="87" spans="10:20" ht="18" x14ac:dyDescent="0.3">
      <c r="J87" s="410" t="s">
        <v>75</v>
      </c>
      <c r="K87" s="410"/>
      <c r="L87" s="410"/>
      <c r="M87" s="410"/>
      <c r="N87" s="410"/>
      <c r="P87" s="410" t="s">
        <v>99</v>
      </c>
      <c r="Q87" s="410"/>
      <c r="R87" s="410"/>
      <c r="S87" s="410"/>
      <c r="T87" s="410"/>
    </row>
    <row r="88" spans="10:20" x14ac:dyDescent="0.3">
      <c r="J88" s="48"/>
      <c r="K88" s="48"/>
      <c r="L88" s="48"/>
      <c r="M88" s="48"/>
      <c r="N88" s="48"/>
      <c r="P88" s="48"/>
      <c r="Q88" s="48"/>
      <c r="R88" s="48"/>
      <c r="S88" s="48"/>
      <c r="T88" s="48"/>
    </row>
    <row r="89" spans="10:20" x14ac:dyDescent="0.3">
      <c r="J89" s="48"/>
      <c r="K89" s="417" t="s">
        <v>98</v>
      </c>
      <c r="L89" s="426"/>
      <c r="M89" s="50"/>
      <c r="N89" s="48" t="s">
        <v>82</v>
      </c>
      <c r="P89" s="48"/>
      <c r="Q89" s="417" t="s">
        <v>74</v>
      </c>
      <c r="R89" s="426"/>
      <c r="S89" s="50"/>
      <c r="T89" s="48" t="s">
        <v>7</v>
      </c>
    </row>
    <row r="90" spans="10:20" x14ac:dyDescent="0.3">
      <c r="J90" s="48"/>
      <c r="K90" s="417" t="s">
        <v>74</v>
      </c>
      <c r="L90" s="426"/>
      <c r="M90" s="50"/>
      <c r="N90" s="48" t="s">
        <v>7</v>
      </c>
      <c r="P90" s="48"/>
      <c r="Q90" s="417" t="s">
        <v>75</v>
      </c>
      <c r="R90" s="426"/>
      <c r="S90" s="50"/>
      <c r="T90" s="48" t="s">
        <v>7</v>
      </c>
    </row>
    <row r="91" spans="10:20" x14ac:dyDescent="0.3">
      <c r="J91" s="48"/>
      <c r="K91" s="417" t="s">
        <v>99</v>
      </c>
      <c r="L91" s="417"/>
      <c r="M91" s="50"/>
      <c r="N91" s="48" t="s">
        <v>82</v>
      </c>
      <c r="P91" s="48"/>
      <c r="Q91" s="417" t="s">
        <v>98</v>
      </c>
      <c r="R91" s="417"/>
      <c r="S91" s="50"/>
      <c r="T91" s="48" t="s">
        <v>82</v>
      </c>
    </row>
    <row r="92" spans="10:20" x14ac:dyDescent="0.3">
      <c r="J92" s="48"/>
      <c r="K92" s="48"/>
      <c r="L92" s="48"/>
      <c r="M92" s="48"/>
      <c r="N92" s="48"/>
      <c r="P92" s="48"/>
      <c r="Q92" s="48"/>
      <c r="R92" s="48"/>
      <c r="S92" s="48"/>
      <c r="T92" s="48"/>
    </row>
    <row r="93" spans="10:20" x14ac:dyDescent="0.3">
      <c r="J93" s="417" t="s">
        <v>101</v>
      </c>
      <c r="K93" s="417"/>
      <c r="L93" s="426"/>
      <c r="M93" s="51" t="e">
        <f>(M90*M89)/M91</f>
        <v>#DIV/0!</v>
      </c>
      <c r="N93" s="48" t="s">
        <v>7</v>
      </c>
      <c r="P93" s="417" t="s">
        <v>103</v>
      </c>
      <c r="Q93" s="417"/>
      <c r="R93" s="426"/>
      <c r="S93" s="51" t="e">
        <f>(S89*S91)/S90</f>
        <v>#DIV/0!</v>
      </c>
      <c r="T93" s="48" t="s">
        <v>7</v>
      </c>
    </row>
    <row r="96" spans="10:20" ht="18" x14ac:dyDescent="0.3">
      <c r="J96" s="410" t="s">
        <v>105</v>
      </c>
      <c r="K96" s="410"/>
      <c r="L96" s="410"/>
      <c r="M96" s="410"/>
      <c r="N96" s="410"/>
      <c r="P96" s="410" t="s">
        <v>106</v>
      </c>
      <c r="Q96" s="410"/>
      <c r="R96" s="410"/>
      <c r="S96" s="410"/>
      <c r="T96" s="410"/>
    </row>
    <row r="97" spans="10:20" x14ac:dyDescent="0.3">
      <c r="J97" s="54"/>
      <c r="K97" s="54"/>
      <c r="L97" s="54"/>
      <c r="M97" s="54"/>
      <c r="N97" s="54"/>
      <c r="P97" s="54"/>
      <c r="Q97" s="54"/>
      <c r="R97" s="54"/>
      <c r="S97" s="54"/>
      <c r="T97" s="54"/>
    </row>
    <row r="98" spans="10:20" x14ac:dyDescent="0.3">
      <c r="J98" s="54"/>
      <c r="K98" s="428" t="s">
        <v>98</v>
      </c>
      <c r="L98" s="429"/>
      <c r="M98" s="55"/>
      <c r="N98" s="54" t="s">
        <v>82</v>
      </c>
      <c r="P98" s="54"/>
      <c r="Q98" s="428" t="s">
        <v>74</v>
      </c>
      <c r="R98" s="429"/>
      <c r="S98" s="55"/>
      <c r="T98" s="54" t="s">
        <v>7</v>
      </c>
    </row>
    <row r="99" spans="10:20" x14ac:dyDescent="0.3">
      <c r="J99" s="54"/>
      <c r="K99" s="428" t="s">
        <v>99</v>
      </c>
      <c r="L99" s="428"/>
      <c r="M99" s="55"/>
      <c r="N99" s="54" t="s">
        <v>82</v>
      </c>
      <c r="P99" s="54"/>
      <c r="Q99" s="428" t="s">
        <v>75</v>
      </c>
      <c r="R99" s="428"/>
      <c r="S99" s="55"/>
      <c r="T99" s="54" t="s">
        <v>7</v>
      </c>
    </row>
    <row r="100" spans="10:20" x14ac:dyDescent="0.3">
      <c r="J100" s="54"/>
      <c r="K100" s="54"/>
      <c r="L100" s="54"/>
      <c r="M100" s="54"/>
      <c r="N100" s="54"/>
      <c r="P100" s="54"/>
      <c r="Q100" s="54"/>
      <c r="R100" s="54"/>
      <c r="S100" s="54"/>
      <c r="T100" s="54"/>
    </row>
    <row r="101" spans="10:20" x14ac:dyDescent="0.3">
      <c r="J101" s="54"/>
      <c r="K101" s="54"/>
      <c r="L101" s="54"/>
      <c r="M101" s="54"/>
      <c r="N101" s="54"/>
      <c r="P101" s="54"/>
      <c r="Q101" s="54"/>
      <c r="R101" s="54"/>
      <c r="S101" s="54"/>
      <c r="T101" s="54"/>
    </row>
    <row r="102" spans="10:20" x14ac:dyDescent="0.3">
      <c r="J102" s="428" t="s">
        <v>104</v>
      </c>
      <c r="K102" s="428"/>
      <c r="L102" s="429"/>
      <c r="M102" s="56" t="e">
        <f>M99/M98</f>
        <v>#DIV/0!</v>
      </c>
      <c r="N102" s="54"/>
      <c r="P102" s="428" t="s">
        <v>107</v>
      </c>
      <c r="Q102" s="428"/>
      <c r="R102" s="429"/>
      <c r="S102" s="56" t="e">
        <f>S98/S99</f>
        <v>#DIV/0!</v>
      </c>
      <c r="T102" s="54"/>
    </row>
  </sheetData>
  <mergeCells count="71">
    <mergeCell ref="P96:T96"/>
    <mergeCell ref="Q98:R98"/>
    <mergeCell ref="Q99:R99"/>
    <mergeCell ref="P102:R102"/>
    <mergeCell ref="J96:N96"/>
    <mergeCell ref="K98:L98"/>
    <mergeCell ref="K99:L99"/>
    <mergeCell ref="J102:L102"/>
    <mergeCell ref="P87:T87"/>
    <mergeCell ref="Q89:R89"/>
    <mergeCell ref="Q90:R90"/>
    <mergeCell ref="Q91:R91"/>
    <mergeCell ref="P93:R93"/>
    <mergeCell ref="J87:N87"/>
    <mergeCell ref="K89:L89"/>
    <mergeCell ref="K90:L90"/>
    <mergeCell ref="K91:L91"/>
    <mergeCell ref="J93:L93"/>
    <mergeCell ref="J76:P76"/>
    <mergeCell ref="J78:N78"/>
    <mergeCell ref="J84:L84"/>
    <mergeCell ref="K80:L80"/>
    <mergeCell ref="K81:L81"/>
    <mergeCell ref="K82:L82"/>
    <mergeCell ref="P78:T78"/>
    <mergeCell ref="Q80:R80"/>
    <mergeCell ref="Q81:R81"/>
    <mergeCell ref="Q82:R82"/>
    <mergeCell ref="P84:R84"/>
    <mergeCell ref="K38:L38"/>
    <mergeCell ref="J32:N32"/>
    <mergeCell ref="J61:N61"/>
    <mergeCell ref="F49:S50"/>
    <mergeCell ref="F73:S74"/>
    <mergeCell ref="J67:L67"/>
    <mergeCell ref="P38:R38"/>
    <mergeCell ref="J52:N52"/>
    <mergeCell ref="J58:L58"/>
    <mergeCell ref="P52:T52"/>
    <mergeCell ref="P58:R58"/>
    <mergeCell ref="J11:L11"/>
    <mergeCell ref="Q26:R26"/>
    <mergeCell ref="P29:R29"/>
    <mergeCell ref="P32:T32"/>
    <mergeCell ref="Q35:R35"/>
    <mergeCell ref="J23:N23"/>
    <mergeCell ref="K29:L29"/>
    <mergeCell ref="K20:L20"/>
    <mergeCell ref="P23:T23"/>
    <mergeCell ref="P20:R20"/>
    <mergeCell ref="K7:L7"/>
    <mergeCell ref="K8:L8"/>
    <mergeCell ref="M8:N8"/>
    <mergeCell ref="K9:L9"/>
    <mergeCell ref="M9:N9"/>
    <mergeCell ref="P3:T3"/>
    <mergeCell ref="M18:N18"/>
    <mergeCell ref="P14:T14"/>
    <mergeCell ref="Q16:R16"/>
    <mergeCell ref="Q17:R17"/>
    <mergeCell ref="Q18:R18"/>
    <mergeCell ref="S18:T18"/>
    <mergeCell ref="J14:N14"/>
    <mergeCell ref="K16:L16"/>
    <mergeCell ref="K17:L17"/>
    <mergeCell ref="K18:L18"/>
    <mergeCell ref="J3:N3"/>
    <mergeCell ref="P5:T5"/>
    <mergeCell ref="Q8:R8"/>
    <mergeCell ref="P11:R11"/>
    <mergeCell ref="J5:N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69BB-3566-4F67-A335-221CF60C4417}">
  <dimension ref="B5:E40"/>
  <sheetViews>
    <sheetView tabSelected="1" topLeftCell="A19" zoomScale="76" workbookViewId="0">
      <selection activeCell="D39" sqref="D39"/>
    </sheetView>
  </sheetViews>
  <sheetFormatPr baseColWidth="10" defaultRowHeight="14.4" x14ac:dyDescent="0.3"/>
  <cols>
    <col min="2" max="2" width="18.21875" customWidth="1"/>
    <col min="4" max="4" width="3.6640625" customWidth="1"/>
  </cols>
  <sheetData>
    <row r="5" spans="2:5" ht="21" x14ac:dyDescent="0.4">
      <c r="B5" s="478" t="s">
        <v>76</v>
      </c>
      <c r="C5" s="479"/>
      <c r="D5" s="479"/>
      <c r="E5" s="480"/>
    </row>
    <row r="6" spans="2:5" x14ac:dyDescent="0.3">
      <c r="B6" s="404"/>
      <c r="C6" s="364"/>
      <c r="D6" s="364"/>
      <c r="E6" s="405"/>
    </row>
    <row r="7" spans="2:5" x14ac:dyDescent="0.3">
      <c r="B7" s="150" t="s">
        <v>203</v>
      </c>
      <c r="C7" s="157"/>
      <c r="D7" s="157" t="s">
        <v>7</v>
      </c>
      <c r="E7" s="156">
        <f>C8</f>
        <v>0</v>
      </c>
    </row>
    <row r="8" spans="2:5" x14ac:dyDescent="0.3">
      <c r="B8" s="150" t="s">
        <v>204</v>
      </c>
      <c r="C8" s="157"/>
      <c r="D8" s="157" t="s">
        <v>7</v>
      </c>
      <c r="E8" s="156">
        <f>C7</f>
        <v>0</v>
      </c>
    </row>
    <row r="9" spans="2:5" x14ac:dyDescent="0.3">
      <c r="B9" s="150" t="s">
        <v>205</v>
      </c>
      <c r="C9" s="157"/>
      <c r="D9" s="157" t="s">
        <v>82</v>
      </c>
      <c r="E9" s="156">
        <f>C10</f>
        <v>0</v>
      </c>
    </row>
    <row r="10" spans="2:5" x14ac:dyDescent="0.3">
      <c r="B10" s="150" t="s">
        <v>206</v>
      </c>
      <c r="C10" s="157"/>
      <c r="D10" s="157" t="s">
        <v>82</v>
      </c>
      <c r="E10" s="156">
        <f>C9</f>
        <v>0</v>
      </c>
    </row>
    <row r="18" spans="2:5" ht="21" x14ac:dyDescent="0.4">
      <c r="B18" s="478" t="s">
        <v>78</v>
      </c>
      <c r="C18" s="479"/>
      <c r="D18" s="479"/>
      <c r="E18" s="480"/>
    </row>
    <row r="19" spans="2:5" x14ac:dyDescent="0.3">
      <c r="B19" s="404"/>
      <c r="C19" s="364"/>
      <c r="D19" s="364"/>
      <c r="E19" s="405"/>
    </row>
    <row r="20" spans="2:5" x14ac:dyDescent="0.3">
      <c r="B20" s="150" t="s">
        <v>203</v>
      </c>
      <c r="C20" s="157"/>
      <c r="D20" s="157" t="s">
        <v>7</v>
      </c>
      <c r="E20" s="156">
        <f>C21*2</f>
        <v>0</v>
      </c>
    </row>
    <row r="21" spans="2:5" x14ac:dyDescent="0.3">
      <c r="B21" s="150" t="s">
        <v>204</v>
      </c>
      <c r="C21" s="157"/>
      <c r="D21" s="157" t="s">
        <v>7</v>
      </c>
      <c r="E21" s="156">
        <f>C20/2</f>
        <v>0</v>
      </c>
    </row>
    <row r="22" spans="2:5" x14ac:dyDescent="0.3">
      <c r="B22" s="150" t="s">
        <v>205</v>
      </c>
      <c r="C22" s="157"/>
      <c r="D22" s="157" t="s">
        <v>82</v>
      </c>
      <c r="E22" s="156">
        <f>C23/2</f>
        <v>0</v>
      </c>
    </row>
    <row r="23" spans="2:5" x14ac:dyDescent="0.3">
      <c r="B23" s="150" t="s">
        <v>206</v>
      </c>
      <c r="C23" s="157"/>
      <c r="D23" s="157" t="s">
        <v>82</v>
      </c>
      <c r="E23" s="156">
        <f>C22*2</f>
        <v>0</v>
      </c>
    </row>
    <row r="35" spans="2:5" ht="21" x14ac:dyDescent="0.4">
      <c r="B35" s="478" t="s">
        <v>466</v>
      </c>
      <c r="C35" s="479"/>
      <c r="D35" s="479"/>
      <c r="E35" s="480"/>
    </row>
    <row r="36" spans="2:5" x14ac:dyDescent="0.3">
      <c r="B36" s="404"/>
      <c r="C36" s="364"/>
      <c r="D36" s="364"/>
      <c r="E36" s="405"/>
    </row>
    <row r="37" spans="2:5" x14ac:dyDescent="0.3">
      <c r="B37" s="150" t="s">
        <v>467</v>
      </c>
      <c r="C37" s="157"/>
      <c r="D37" s="157" t="s">
        <v>7</v>
      </c>
      <c r="E37" s="156"/>
    </row>
    <row r="38" spans="2:5" x14ac:dyDescent="0.3">
      <c r="B38" s="150" t="s">
        <v>468</v>
      </c>
      <c r="C38" s="157"/>
      <c r="D38" s="157" t="s">
        <v>7</v>
      </c>
      <c r="E38" s="156"/>
    </row>
    <row r="39" spans="2:5" x14ac:dyDescent="0.3">
      <c r="B39" s="150" t="s">
        <v>469</v>
      </c>
      <c r="C39" s="157"/>
      <c r="D39" s="157" t="s">
        <v>82</v>
      </c>
      <c r="E39" s="156"/>
    </row>
    <row r="40" spans="2:5" x14ac:dyDescent="0.3">
      <c r="B40" s="150" t="s">
        <v>470</v>
      </c>
      <c r="C40" s="157"/>
      <c r="D40" s="157" t="s">
        <v>82</v>
      </c>
      <c r="E40" s="156"/>
    </row>
  </sheetData>
  <mergeCells count="6">
    <mergeCell ref="B36:E36"/>
    <mergeCell ref="B5:E5"/>
    <mergeCell ref="B6:E6"/>
    <mergeCell ref="B18:E18"/>
    <mergeCell ref="B19:E19"/>
    <mergeCell ref="B35:E3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6AAC-60EF-432D-A9D2-77207CC4AA0B}">
  <sheetPr codeName="Feuil5"/>
  <dimension ref="B2:F19"/>
  <sheetViews>
    <sheetView workbookViewId="0">
      <selection activeCell="E12" sqref="E12"/>
    </sheetView>
  </sheetViews>
  <sheetFormatPr baseColWidth="10" defaultRowHeight="14.4" x14ac:dyDescent="0.3"/>
  <cols>
    <col min="2" max="2" width="27.6640625" customWidth="1"/>
    <col min="3" max="6" width="13.44140625" bestFit="1" customWidth="1"/>
  </cols>
  <sheetData>
    <row r="2" spans="2:6" ht="18" x14ac:dyDescent="0.3">
      <c r="B2" s="23" t="s">
        <v>63</v>
      </c>
      <c r="C2" s="24" t="s">
        <v>43</v>
      </c>
      <c r="D2" s="24" t="s">
        <v>44</v>
      </c>
      <c r="E2" s="24" t="s">
        <v>45</v>
      </c>
      <c r="F2" s="25" t="s">
        <v>46</v>
      </c>
    </row>
    <row r="3" spans="2:6" ht="15" thickBot="1" x14ac:dyDescent="0.35">
      <c r="B3" s="20"/>
      <c r="C3" s="21"/>
      <c r="D3" s="21"/>
      <c r="E3" s="21"/>
      <c r="F3" s="22"/>
    </row>
    <row r="4" spans="2:6" x14ac:dyDescent="0.3">
      <c r="B4" s="13"/>
      <c r="C4" s="12"/>
      <c r="D4" s="12" t="s">
        <v>59</v>
      </c>
      <c r="E4" s="12" t="s">
        <v>60</v>
      </c>
      <c r="F4" s="14" t="s">
        <v>61</v>
      </c>
    </row>
    <row r="5" spans="2:6" x14ac:dyDescent="0.3">
      <c r="B5" s="13"/>
      <c r="C5" s="12"/>
      <c r="D5" s="12"/>
      <c r="E5" s="12"/>
      <c r="F5" s="14"/>
    </row>
    <row r="6" spans="2:6" x14ac:dyDescent="0.3">
      <c r="B6" s="13" t="s">
        <v>59</v>
      </c>
      <c r="C6" s="12"/>
      <c r="D6" s="19" t="e">
        <f>D7/D8</f>
        <v>#DIV/0!</v>
      </c>
      <c r="E6" s="12"/>
      <c r="F6" s="14"/>
    </row>
    <row r="7" spans="2:6" x14ac:dyDescent="0.3">
      <c r="B7" s="13" t="s">
        <v>60</v>
      </c>
      <c r="C7" s="12"/>
      <c r="D7" s="12"/>
      <c r="E7" s="19">
        <f>E6*E8</f>
        <v>0</v>
      </c>
      <c r="F7" s="14"/>
    </row>
    <row r="8" spans="2:6" x14ac:dyDescent="0.3">
      <c r="B8" s="13" t="s">
        <v>61</v>
      </c>
      <c r="C8" s="12"/>
      <c r="D8" s="12"/>
      <c r="E8" s="12"/>
      <c r="F8" s="15" t="e">
        <f>F7/F6</f>
        <v>#DIV/0!</v>
      </c>
    </row>
    <row r="15" spans="2:6" ht="18" customHeight="1" x14ac:dyDescent="0.3">
      <c r="B15" s="23" t="s">
        <v>62</v>
      </c>
      <c r="C15" s="30" t="s">
        <v>43</v>
      </c>
      <c r="D15" s="30" t="s">
        <v>44</v>
      </c>
      <c r="E15" s="31" t="s">
        <v>45</v>
      </c>
    </row>
    <row r="16" spans="2:6" ht="18.600000000000001" thickBot="1" x14ac:dyDescent="0.35">
      <c r="B16" s="26"/>
      <c r="C16" s="27"/>
      <c r="D16" s="27"/>
      <c r="E16" s="28"/>
    </row>
    <row r="17" spans="2:5" x14ac:dyDescent="0.3">
      <c r="B17" s="11"/>
      <c r="C17" s="1"/>
      <c r="D17" s="1" t="s">
        <v>19</v>
      </c>
      <c r="E17" s="7" t="s">
        <v>33</v>
      </c>
    </row>
    <row r="18" spans="2:5" x14ac:dyDescent="0.3">
      <c r="B18" s="11" t="s">
        <v>19</v>
      </c>
      <c r="C18" s="1"/>
      <c r="D18" s="10"/>
      <c r="E18" s="7">
        <f>C18*3.6</f>
        <v>0</v>
      </c>
    </row>
    <row r="19" spans="2:5" x14ac:dyDescent="0.3">
      <c r="B19" s="11" t="s">
        <v>33</v>
      </c>
      <c r="C19" s="1"/>
      <c r="D19" s="1">
        <f>C19*(1/3.6)</f>
        <v>0</v>
      </c>
      <c r="E19" s="29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Convertisseur d'unité</vt:lpstr>
      <vt:lpstr>Visserie, résistance</vt:lpstr>
      <vt:lpstr>Puissance mécanique</vt:lpstr>
      <vt:lpstr>Géométrie (surface)</vt:lpstr>
      <vt:lpstr>Géométrie (volume)</vt:lpstr>
      <vt:lpstr>Trigonométrie</vt:lpstr>
      <vt:lpstr>Levier</vt:lpstr>
      <vt:lpstr>Levage </vt:lpstr>
      <vt:lpstr>Vitesse</vt:lpstr>
      <vt:lpstr>Moteur </vt:lpstr>
      <vt:lpstr>Embrayage</vt:lpstr>
      <vt:lpstr>Transmission</vt:lpstr>
      <vt:lpstr>Roues, pneus</vt:lpstr>
      <vt:lpstr>Pulvérisateur</vt:lpstr>
      <vt:lpstr>Densité de semis</vt:lpstr>
      <vt:lpstr>Rendement mécanique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Ruchti</dc:creator>
  <cp:lastModifiedBy>Christophe Ruchti</cp:lastModifiedBy>
  <cp:lastPrinted>2023-02-13T21:12:23Z</cp:lastPrinted>
  <dcterms:created xsi:type="dcterms:W3CDTF">2015-06-05T18:19:34Z</dcterms:created>
  <dcterms:modified xsi:type="dcterms:W3CDTF">2023-12-03T14:09:02Z</dcterms:modified>
</cp:coreProperties>
</file>