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Brevet\Calculs excel\"/>
    </mc:Choice>
  </mc:AlternateContent>
  <xr:revisionPtr revIDLastSave="0" documentId="13_ncr:1_{F35005C1-3493-434D-942F-14020F12F2A5}" xr6:coauthVersionLast="47" xr6:coauthVersionMax="47" xr10:uidLastSave="{00000000-0000-0000-0000-000000000000}"/>
  <bookViews>
    <workbookView xWindow="-108" yWindow="-108" windowWidth="23256" windowHeight="12456" activeTab="1" xr2:uid="{79E5C7AF-3550-4C1E-8693-C3856375EF46}"/>
  </bookViews>
  <sheets>
    <sheet name="Pompes" sheetId="4" r:id="rId1"/>
    <sheet name="Vérins" sheetId="1" r:id="rId2"/>
    <sheet name="Rendements" sheetId="5" r:id="rId3"/>
    <sheet name="Moteurs" sheetId="2" r:id="rId4"/>
    <sheet name="Conduites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" l="1"/>
  <c r="E61" i="2"/>
  <c r="D25" i="1"/>
  <c r="E68" i="1" l="1"/>
  <c r="L19" i="1"/>
  <c r="J25" i="1" s="1"/>
  <c r="L17" i="1"/>
  <c r="O16" i="1"/>
  <c r="O15" i="1"/>
  <c r="J26" i="1" s="1"/>
  <c r="AA26" i="1"/>
  <c r="AA31" i="1"/>
  <c r="AA30" i="1"/>
  <c r="AA28" i="1"/>
  <c r="AC26" i="1"/>
  <c r="AB26" i="1"/>
  <c r="AA17" i="1"/>
  <c r="Z17" i="1"/>
  <c r="AA16" i="1"/>
  <c r="Z16" i="1"/>
  <c r="Z15" i="1"/>
  <c r="Z14" i="1"/>
  <c r="J27" i="1" l="1"/>
  <c r="E32" i="4"/>
  <c r="E25" i="4"/>
  <c r="L68" i="4"/>
  <c r="M70" i="4" s="1"/>
  <c r="L23" i="4"/>
  <c r="L25" i="4" s="1"/>
  <c r="L88" i="4"/>
  <c r="F88" i="4"/>
  <c r="E68" i="4"/>
  <c r="E69" i="4"/>
  <c r="E71" i="4" s="1"/>
  <c r="L33" i="4"/>
  <c r="L34" i="4"/>
  <c r="E59" i="4"/>
  <c r="E58" i="4"/>
  <c r="E61" i="4" s="1"/>
  <c r="E41" i="4"/>
  <c r="E43" i="4" s="1"/>
  <c r="E34" i="4"/>
  <c r="L78" i="3"/>
  <c r="E78" i="3"/>
  <c r="L69" i="3"/>
  <c r="E69" i="3"/>
  <c r="F37" i="3"/>
  <c r="F29" i="3"/>
  <c r="F21" i="3"/>
  <c r="F144" i="2"/>
  <c r="F135" i="2"/>
  <c r="F126" i="2"/>
  <c r="E111" i="2"/>
  <c r="F113" i="2" s="1"/>
  <c r="E102" i="2"/>
  <c r="F104" i="2" s="1"/>
  <c r="F95" i="2"/>
  <c r="E72" i="2"/>
  <c r="E73" i="2"/>
  <c r="F75" i="2" s="1"/>
  <c r="E62" i="2"/>
  <c r="K44" i="2"/>
  <c r="K46" i="2"/>
  <c r="M47" i="2" s="1"/>
  <c r="E37" i="2"/>
  <c r="E25" i="2"/>
  <c r="E27" i="2" s="1"/>
  <c r="J68" i="1"/>
  <c r="J60" i="1"/>
  <c r="D60" i="1"/>
  <c r="Q52" i="1"/>
  <c r="J52" i="1"/>
  <c r="D52" i="1"/>
  <c r="J44" i="1"/>
  <c r="J36" i="1"/>
  <c r="D36" i="1"/>
  <c r="Q28" i="1"/>
  <c r="C18" i="1"/>
  <c r="F19" i="1" s="1"/>
  <c r="F64" i="2" l="1"/>
  <c r="E19" i="1"/>
  <c r="D44" i="1"/>
  <c r="D28" i="1" l="1"/>
  <c r="D29" i="1" s="1"/>
</calcChain>
</file>

<file path=xl/sharedStrings.xml><?xml version="1.0" encoding="utf-8"?>
<sst xmlns="http://schemas.openxmlformats.org/spreadsheetml/2006/main" count="419" uniqueCount="183">
  <si>
    <t>Vérins</t>
  </si>
  <si>
    <t>Surface côté piston</t>
  </si>
  <si>
    <t>Surface côté tige</t>
  </si>
  <si>
    <t>Diamètre (cm)</t>
  </si>
  <si>
    <t>cm</t>
  </si>
  <si>
    <t>Diamètre (grand) = D (cm)</t>
  </si>
  <si>
    <t>=</t>
  </si>
  <si>
    <t>Surface D (cm²)</t>
  </si>
  <si>
    <t>cm²</t>
  </si>
  <si>
    <t>Rayon (cm)</t>
  </si>
  <si>
    <t>Diamètre (petit) = d (cm)</t>
  </si>
  <si>
    <t>Surface d (cm²)</t>
  </si>
  <si>
    <t>Diamètre moyen (cm)</t>
  </si>
  <si>
    <t>π =</t>
  </si>
  <si>
    <t>Surface (cm²):</t>
  </si>
  <si>
    <t>Surface partielle (cm²):</t>
  </si>
  <si>
    <r>
      <rPr>
        <sz val="16"/>
        <color theme="1"/>
        <rFont val="Calibri"/>
        <family val="2"/>
        <scheme val="minor"/>
      </rPr>
      <t>Force</t>
    </r>
    <r>
      <rPr>
        <sz val="14"/>
        <color theme="1"/>
        <rFont val="Calibri"/>
        <family val="2"/>
        <scheme val="minor"/>
      </rPr>
      <t xml:space="preserve"> </t>
    </r>
  </si>
  <si>
    <t>Force</t>
  </si>
  <si>
    <r>
      <t>Rendement</t>
    </r>
    <r>
      <rPr>
        <sz val="9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hydromécanique</t>
    </r>
  </si>
  <si>
    <t>entre 0,85 - 0,95</t>
  </si>
  <si>
    <t>Surface (cm²)</t>
  </si>
  <si>
    <t>Force D (daN)</t>
  </si>
  <si>
    <t>daN</t>
  </si>
  <si>
    <t>Force de sortie</t>
  </si>
  <si>
    <t>Puissance</t>
  </si>
  <si>
    <t>W</t>
  </si>
  <si>
    <t>Pression (bar)</t>
  </si>
  <si>
    <t>bar</t>
  </si>
  <si>
    <t>Force d (daN)</t>
  </si>
  <si>
    <t>Force de rentrée</t>
  </si>
  <si>
    <t>Vitesse</t>
  </si>
  <si>
    <t>m/s</t>
  </si>
  <si>
    <t>Delta force (daN)</t>
  </si>
  <si>
    <r>
      <t>Force (daN)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-&gt; pression x surface x rendement</t>
    </r>
  </si>
  <si>
    <r>
      <rPr>
        <b/>
        <sz val="11"/>
        <color theme="1"/>
        <rFont val="Calibri"/>
        <family val="2"/>
        <scheme val="minor"/>
      </rPr>
      <t>Force</t>
    </r>
    <r>
      <rPr>
        <sz val="9"/>
        <color theme="1"/>
        <rFont val="Calibri"/>
        <family val="2"/>
        <scheme val="minor"/>
      </rPr>
      <t>-&gt;puissance/vitesse</t>
    </r>
  </si>
  <si>
    <t>N</t>
  </si>
  <si>
    <t>Pression</t>
  </si>
  <si>
    <t>Surface</t>
  </si>
  <si>
    <t>Force (daN)</t>
  </si>
  <si>
    <t xml:space="preserve">Force </t>
  </si>
  <si>
    <t xml:space="preserve">Pression </t>
  </si>
  <si>
    <r>
      <rPr>
        <b/>
        <sz val="11"/>
        <color theme="1"/>
        <rFont val="Calibri"/>
        <family val="2"/>
        <scheme val="minor"/>
      </rPr>
      <t>Pression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-&gt; force/surface</t>
    </r>
  </si>
  <si>
    <r>
      <t xml:space="preserve">Surface (cm²) </t>
    </r>
    <r>
      <rPr>
        <sz val="9"/>
        <color theme="1"/>
        <rFont val="Calibri"/>
        <family val="2"/>
        <scheme val="minor"/>
      </rPr>
      <t>-&gt; force / pression</t>
    </r>
  </si>
  <si>
    <t>Diamètre du piston</t>
  </si>
  <si>
    <t>Volume</t>
  </si>
  <si>
    <t>Course</t>
  </si>
  <si>
    <t>mm</t>
  </si>
  <si>
    <t xml:space="preserve">Diamètre du piston </t>
  </si>
  <si>
    <r>
      <t xml:space="preserve">Volume </t>
    </r>
    <r>
      <rPr>
        <sz val="8"/>
        <color theme="1"/>
        <rFont val="Calibri"/>
        <family val="2"/>
        <scheme val="minor"/>
      </rPr>
      <t>-&gt; (surface x course)/10'000</t>
    </r>
  </si>
  <si>
    <r>
      <t>dm</t>
    </r>
    <r>
      <rPr>
        <sz val="11"/>
        <color theme="1"/>
        <rFont val="Calibri"/>
        <family val="2"/>
      </rPr>
      <t>³</t>
    </r>
  </si>
  <si>
    <t>Débit</t>
  </si>
  <si>
    <t>l/min</t>
  </si>
  <si>
    <t>Temps</t>
  </si>
  <si>
    <t>seconde</t>
  </si>
  <si>
    <r>
      <rPr>
        <b/>
        <sz val="11"/>
        <color theme="1"/>
        <rFont val="Calibri"/>
        <family val="2"/>
        <scheme val="minor"/>
      </rPr>
      <t>Vitesse</t>
    </r>
    <r>
      <rPr>
        <sz val="9"/>
        <color theme="1"/>
        <rFont val="Calibri"/>
        <family val="2"/>
        <scheme val="minor"/>
      </rPr>
      <t>-&gt;course/temps x 1000</t>
    </r>
  </si>
  <si>
    <r>
      <rPr>
        <b/>
        <sz val="11"/>
        <color theme="1"/>
        <rFont val="Calibri"/>
        <family val="2"/>
        <scheme val="minor"/>
      </rPr>
      <t>Vitesse</t>
    </r>
    <r>
      <rPr>
        <sz val="9"/>
        <color theme="1"/>
        <rFont val="Calibri"/>
        <family val="2"/>
        <scheme val="minor"/>
      </rPr>
      <t>-&gt; débit / surface x 6</t>
    </r>
  </si>
  <si>
    <r>
      <rPr>
        <b/>
        <sz val="11"/>
        <color theme="1"/>
        <rFont val="Calibri"/>
        <family val="2"/>
        <scheme val="minor"/>
      </rPr>
      <t>Vitesse</t>
    </r>
    <r>
      <rPr>
        <sz val="9"/>
        <color theme="1"/>
        <rFont val="Calibri"/>
        <family val="2"/>
        <scheme val="minor"/>
      </rPr>
      <t>-&gt;puissance/force</t>
    </r>
  </si>
  <si>
    <t>s</t>
  </si>
  <si>
    <r>
      <rPr>
        <b/>
        <sz val="11"/>
        <color theme="1"/>
        <rFont val="Calibri"/>
        <family val="2"/>
        <scheme val="minor"/>
      </rPr>
      <t>Débit</t>
    </r>
    <r>
      <rPr>
        <sz val="9"/>
        <color theme="1"/>
        <rFont val="Calibri"/>
        <family val="2"/>
        <scheme val="minor"/>
      </rPr>
      <t>-&gt; surface x vitesse x 6</t>
    </r>
  </si>
  <si>
    <r>
      <t>Débit</t>
    </r>
    <r>
      <rPr>
        <sz val="9"/>
        <color theme="1"/>
        <rFont val="Calibri"/>
        <family val="2"/>
        <scheme val="minor"/>
      </rPr>
      <t>-&gt; vitesse x 60 / temps</t>
    </r>
  </si>
  <si>
    <t>Temps de déplacement</t>
  </si>
  <si>
    <r>
      <rPr>
        <b/>
        <sz val="11"/>
        <color theme="1"/>
        <rFont val="Calibri"/>
        <family val="2"/>
        <scheme val="minor"/>
      </rPr>
      <t>Temps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-&gt; (surface x course x 6)/(débit x 1000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</si>
  <si>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Puissance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-&gt; force x vitesse</t>
    </r>
  </si>
  <si>
    <t>Moteurs hydraulique</t>
  </si>
  <si>
    <t>Régime</t>
  </si>
  <si>
    <t>Rendement volumétrique</t>
  </si>
  <si>
    <r>
      <t>cm</t>
    </r>
    <r>
      <rPr>
        <sz val="11"/>
        <color theme="1"/>
        <rFont val="Calibri"/>
        <family val="2"/>
      </rPr>
      <t>³/tr</t>
    </r>
  </si>
  <si>
    <t>tr/min</t>
  </si>
  <si>
    <t>Rendement volumétrique (entre 0,9 et 0,95)</t>
  </si>
  <si>
    <t>Débit volumétrique</t>
  </si>
  <si>
    <t>Cylindrée</t>
  </si>
  <si>
    <t>Cylindrée par tour</t>
  </si>
  <si>
    <r>
      <t>Débit</t>
    </r>
    <r>
      <rPr>
        <sz val="9"/>
        <color theme="1"/>
        <rFont val="Calibri"/>
        <family val="2"/>
        <scheme val="minor"/>
      </rPr>
      <t>-&gt;cylindrée x régime/1000xrendement</t>
    </r>
  </si>
  <si>
    <t>Débit volumique</t>
  </si>
  <si>
    <r>
      <rPr>
        <b/>
        <sz val="11"/>
        <color theme="1"/>
        <rFont val="Calibri"/>
        <family val="2"/>
        <scheme val="minor"/>
      </rPr>
      <t>Cylindrée</t>
    </r>
    <r>
      <rPr>
        <sz val="11"/>
        <color theme="1"/>
        <rFont val="Calibri"/>
        <family val="2"/>
        <scheme val="minor"/>
      </rPr>
      <t>-</t>
    </r>
    <r>
      <rPr>
        <sz val="9"/>
        <color theme="1"/>
        <rFont val="Calibri"/>
        <family val="2"/>
        <scheme val="minor"/>
      </rPr>
      <t>&gt;(débitx1000xrendement)/régime</t>
    </r>
  </si>
  <si>
    <r>
      <rPr>
        <b/>
        <sz val="11"/>
        <color theme="1"/>
        <rFont val="Calibri"/>
        <family val="2"/>
        <scheme val="minor"/>
      </rPr>
      <t>Régime</t>
    </r>
    <r>
      <rPr>
        <sz val="9"/>
        <color theme="1"/>
        <rFont val="Calibri"/>
        <family val="2"/>
        <scheme val="minor"/>
      </rPr>
      <t>-&gt;débitx1000xrendement/cylindrée</t>
    </r>
  </si>
  <si>
    <t>Egalité de base: débit volumique X 1000 X rendement volumétrique = cylindrée par tour X régime</t>
  </si>
  <si>
    <t>cm³/tr</t>
  </si>
  <si>
    <r>
      <t xml:space="preserve">Egalité de base: couple x 20 x </t>
    </r>
    <r>
      <rPr>
        <sz val="14"/>
        <color theme="1"/>
        <rFont val="Calibri"/>
        <family val="2"/>
      </rPr>
      <t>π = délta pression x cylindrée par tour x rendement hydromécanique</t>
    </r>
  </si>
  <si>
    <t>Couple</t>
  </si>
  <si>
    <t>Délta pression</t>
  </si>
  <si>
    <t>π</t>
  </si>
  <si>
    <r>
      <rPr>
        <b/>
        <sz val="11"/>
        <color theme="1"/>
        <rFont val="Calibri"/>
        <family val="2"/>
        <scheme val="minor"/>
      </rPr>
      <t>Couple</t>
    </r>
    <r>
      <rPr>
        <sz val="9"/>
        <color theme="1"/>
        <rFont val="Calibri"/>
        <family val="2"/>
        <scheme val="minor"/>
      </rPr>
      <t>-&gt; (délta pression x cylindrée x rendement)/π x 20</t>
    </r>
  </si>
  <si>
    <t>Rendement hydroméc.</t>
  </si>
  <si>
    <t>Nm</t>
  </si>
  <si>
    <t>Délta Pression</t>
  </si>
  <si>
    <r>
      <rPr>
        <b/>
        <sz val="11"/>
        <color theme="1"/>
        <rFont val="Calibri"/>
        <family val="2"/>
        <scheme val="minor"/>
      </rPr>
      <t>Cylindrée</t>
    </r>
    <r>
      <rPr>
        <sz val="11"/>
        <color theme="1"/>
        <rFont val="Calibri"/>
        <family val="2"/>
        <scheme val="minor"/>
      </rPr>
      <t>-&gt;(couple x π x 20)/(delta pression x rendement)</t>
    </r>
  </si>
  <si>
    <r>
      <rPr>
        <b/>
        <sz val="11"/>
        <color theme="1"/>
        <rFont val="Calibri"/>
        <family val="2"/>
        <scheme val="minor"/>
      </rPr>
      <t>Pression</t>
    </r>
    <r>
      <rPr>
        <sz val="9"/>
        <color theme="1"/>
        <rFont val="Calibri"/>
        <family val="2"/>
        <scheme val="minor"/>
      </rPr>
      <t>-&gt;(Couple x π x 20)/(cylindrée x rendement vol.)</t>
    </r>
  </si>
  <si>
    <t>Puissance entrainement mécanique (depuis hydraulique)</t>
  </si>
  <si>
    <t>Rendement total (entre 0,75 et 0,85)</t>
  </si>
  <si>
    <t>Egalité de base: puissance X 600 = delta pression X débit X rendement total</t>
  </si>
  <si>
    <t>Delta pression</t>
  </si>
  <si>
    <t>Rendement total</t>
  </si>
  <si>
    <r>
      <rPr>
        <b/>
        <sz val="11"/>
        <color theme="1"/>
        <rFont val="Calibri"/>
        <family val="2"/>
        <scheme val="minor"/>
      </rPr>
      <t>Puissance</t>
    </r>
    <r>
      <rPr>
        <sz val="8"/>
        <color theme="1"/>
        <rFont val="Calibri"/>
        <family val="2"/>
        <scheme val="minor"/>
      </rPr>
      <t>-&gt;(delta pression x débit x rendement tot)/600</t>
    </r>
  </si>
  <si>
    <t>kW</t>
  </si>
  <si>
    <r>
      <rPr>
        <b/>
        <sz val="11"/>
        <color theme="1"/>
        <rFont val="Calibri"/>
        <family val="2"/>
        <scheme val="minor"/>
      </rPr>
      <t>Débit</t>
    </r>
    <r>
      <rPr>
        <sz val="9"/>
        <color theme="1"/>
        <rFont val="Calibri"/>
        <family val="2"/>
        <scheme val="minor"/>
      </rPr>
      <t>-&gt;(puissance x 600)/delta pression x rendement tot)</t>
    </r>
  </si>
  <si>
    <t>Rendement</t>
  </si>
  <si>
    <r>
      <rPr>
        <b/>
        <sz val="11"/>
        <color theme="1"/>
        <rFont val="Calibri"/>
        <family val="2"/>
        <scheme val="minor"/>
      </rPr>
      <t>Pression</t>
    </r>
    <r>
      <rPr>
        <sz val="9"/>
        <color theme="1"/>
        <rFont val="Calibri"/>
        <family val="2"/>
        <scheme val="minor"/>
      </rPr>
      <t>-&gt;(Puissance x 600)/(débit x rendement)</t>
    </r>
  </si>
  <si>
    <t>Puissance entrainement mécanique (depuis mécanique)</t>
  </si>
  <si>
    <t xml:space="preserve">Constante </t>
  </si>
  <si>
    <r>
      <t>Puissance</t>
    </r>
    <r>
      <rPr>
        <sz val="9"/>
        <color theme="1"/>
        <rFont val="Calibri"/>
        <family val="2"/>
        <scheme val="minor"/>
      </rPr>
      <t xml:space="preserve"> -&gt; (couple x régime) / 9550</t>
    </r>
  </si>
  <si>
    <t>Constante</t>
  </si>
  <si>
    <r>
      <t>Couple</t>
    </r>
    <r>
      <rPr>
        <sz val="9"/>
        <color theme="1"/>
        <rFont val="Calibri"/>
        <family val="2"/>
        <scheme val="minor"/>
      </rPr>
      <t xml:space="preserve"> -&gt; (Puissance x 9550) / régime</t>
    </r>
  </si>
  <si>
    <r>
      <t>Régime</t>
    </r>
    <r>
      <rPr>
        <sz val="9"/>
        <color theme="1"/>
        <rFont val="Calibri"/>
        <family val="2"/>
        <scheme val="minor"/>
      </rPr>
      <t xml:space="preserve"> -&gt; (Puissance x 9550) / couple</t>
    </r>
  </si>
  <si>
    <t>Conduites hydraulique</t>
  </si>
  <si>
    <t>Vitesse d'écoulement</t>
  </si>
  <si>
    <t>Vitesse d'écoulement recommandé</t>
  </si>
  <si>
    <t>Aspiration</t>
  </si>
  <si>
    <t>Retour</t>
  </si>
  <si>
    <t>0,6 - 1,3</t>
  </si>
  <si>
    <t>1,7 - 4,5</t>
  </si>
  <si>
    <t>2,5 - 6</t>
  </si>
  <si>
    <t>m/sec</t>
  </si>
  <si>
    <t>Diamètre intérieur</t>
  </si>
  <si>
    <r>
      <rPr>
        <b/>
        <sz val="11"/>
        <color theme="1"/>
        <rFont val="Calibri"/>
        <family val="2"/>
        <scheme val="minor"/>
      </rPr>
      <t>Vitesse d'écoulement</t>
    </r>
    <r>
      <rPr>
        <sz val="9"/>
        <color theme="1"/>
        <rFont val="Calibri"/>
        <family val="2"/>
        <scheme val="minor"/>
      </rPr>
      <t xml:space="preserve">-&gt; (Débit x 21,2) / diamètre </t>
    </r>
    <r>
      <rPr>
        <sz val="9"/>
        <color theme="1"/>
        <rFont val="Calibri"/>
        <family val="2"/>
      </rPr>
      <t>²</t>
    </r>
  </si>
  <si>
    <t xml:space="preserve">Vitesse d'écoulement </t>
  </si>
  <si>
    <t xml:space="preserve">Diamètre intérieur </t>
  </si>
  <si>
    <r>
      <t>Débit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-&gt; (vitesse d'écoulement x diamètre</t>
    </r>
    <r>
      <rPr>
        <sz val="9"/>
        <color theme="1"/>
        <rFont val="Calibri"/>
        <family val="2"/>
      </rPr>
      <t>²) / 21,2</t>
    </r>
  </si>
  <si>
    <t>Diamètre interieur</t>
  </si>
  <si>
    <r>
      <t>Diamètre</t>
    </r>
    <r>
      <rPr>
        <sz val="9"/>
        <color theme="1"/>
        <rFont val="Calibri"/>
        <family val="2"/>
        <scheme val="minor"/>
      </rPr>
      <t xml:space="preserve"> -&gt; racine carée de ((débit x 21,2)/vitesse d'écoulement)</t>
    </r>
  </si>
  <si>
    <t>Changement de vitesse d'écoulement</t>
  </si>
  <si>
    <t>V1 -&gt; Vitesse d'écoulement 1</t>
  </si>
  <si>
    <t>V2 -&gt; Vitesse écoulement 2</t>
  </si>
  <si>
    <t>A1 -&gt; Section 1</t>
  </si>
  <si>
    <t>A2 -&gt; Section 2</t>
  </si>
  <si>
    <r>
      <rPr>
        <b/>
        <sz val="11"/>
        <color theme="1"/>
        <rFont val="Calibri"/>
        <family val="2"/>
        <scheme val="minor"/>
      </rPr>
      <t>Vitesse d'écoulement 1</t>
    </r>
    <r>
      <rPr>
        <sz val="9"/>
        <color theme="1"/>
        <rFont val="Calibri"/>
        <family val="2"/>
        <scheme val="minor"/>
      </rPr>
      <t xml:space="preserve"> -&gt; (V2xA2)/A1</t>
    </r>
  </si>
  <si>
    <t>V2 -&gt; Vitesse d'écoulement 2</t>
  </si>
  <si>
    <t>V1-&gt;Vitesse d'écoulement 1</t>
  </si>
  <si>
    <t>A1 -&gt; section1</t>
  </si>
  <si>
    <t>A2 -&gt; Section2</t>
  </si>
  <si>
    <r>
      <t>Vitesse d'écoulement 2</t>
    </r>
    <r>
      <rPr>
        <sz val="9"/>
        <color theme="1"/>
        <rFont val="Calibri"/>
        <family val="2"/>
        <scheme val="minor"/>
      </rPr>
      <t>-&gt; (V1 x A1) / A2</t>
    </r>
  </si>
  <si>
    <r>
      <t>mm</t>
    </r>
    <r>
      <rPr>
        <sz val="11"/>
        <color theme="1"/>
        <rFont val="Calibri"/>
        <family val="2"/>
      </rPr>
      <t>², ou autre</t>
    </r>
  </si>
  <si>
    <t>mm², ou autre</t>
  </si>
  <si>
    <t>A1 -&gt; Section1</t>
  </si>
  <si>
    <r>
      <rPr>
        <b/>
        <sz val="11"/>
        <color theme="1"/>
        <rFont val="Calibri"/>
        <family val="2"/>
        <scheme val="minor"/>
      </rPr>
      <t xml:space="preserve">A1-&gt;Section 1 </t>
    </r>
    <r>
      <rPr>
        <sz val="9"/>
        <color theme="1"/>
        <rFont val="Calibri"/>
        <family val="2"/>
        <scheme val="minor"/>
      </rPr>
      <t>-&gt; (V2 X A2)/A1</t>
    </r>
  </si>
  <si>
    <r>
      <rPr>
        <b/>
        <sz val="11"/>
        <color theme="1"/>
        <rFont val="Calibri"/>
        <family val="2"/>
        <scheme val="minor"/>
      </rPr>
      <t>A2-&gt; Section 2</t>
    </r>
    <r>
      <rPr>
        <sz val="9"/>
        <color theme="1"/>
        <rFont val="Calibri"/>
        <family val="2"/>
        <scheme val="minor"/>
      </rPr>
      <t xml:space="preserve"> -&gt; (V1 X A1)/A2</t>
    </r>
  </si>
  <si>
    <t>Pompes hydraulique</t>
  </si>
  <si>
    <t>Egalité de base: Débit x 1000 = cylindré par tour x régime x rendement</t>
  </si>
  <si>
    <t>Cylindré par tour</t>
  </si>
  <si>
    <r>
      <t>Débit</t>
    </r>
    <r>
      <rPr>
        <sz val="9"/>
        <color theme="1"/>
        <rFont val="Calibri"/>
        <family val="2"/>
        <scheme val="minor"/>
      </rPr>
      <t>-&gt;(Cylindré x régime x rendement)/1000</t>
    </r>
  </si>
  <si>
    <r>
      <t>cm</t>
    </r>
    <r>
      <rPr>
        <sz val="11"/>
        <color theme="1"/>
        <rFont val="Calibri"/>
        <family val="2"/>
      </rPr>
      <t>³</t>
    </r>
  </si>
  <si>
    <r>
      <rPr>
        <b/>
        <sz val="11"/>
        <color theme="1"/>
        <rFont val="Calibri"/>
        <family val="2"/>
        <scheme val="minor"/>
      </rPr>
      <t>Cylindrée</t>
    </r>
    <r>
      <rPr>
        <sz val="9"/>
        <color theme="1"/>
        <rFont val="Calibri"/>
        <family val="2"/>
        <scheme val="minor"/>
      </rPr>
      <t>-&gt; (débit x 1000)/(régime x rendement)</t>
    </r>
  </si>
  <si>
    <r>
      <t>Régime</t>
    </r>
    <r>
      <rPr>
        <sz val="9"/>
        <color theme="1"/>
        <rFont val="Calibri"/>
        <family val="2"/>
        <scheme val="minor"/>
      </rPr>
      <t>-&gt;(débit x 1000)/(cylindré x rendement)</t>
    </r>
  </si>
  <si>
    <t>Rendement hydromécanique (entre 0,85 et 0,95)</t>
  </si>
  <si>
    <r>
      <t xml:space="preserve">Egalité de base: Couple x 20 x </t>
    </r>
    <r>
      <rPr>
        <sz val="14"/>
        <color theme="1"/>
        <rFont val="Calibri"/>
        <family val="2"/>
      </rPr>
      <t xml:space="preserve">π x rendement hydr. = pression x </t>
    </r>
    <r>
      <rPr>
        <sz val="14"/>
        <color theme="1"/>
        <rFont val="Calibri"/>
        <family val="2"/>
        <scheme val="minor"/>
      </rPr>
      <t>cylindrée</t>
    </r>
  </si>
  <si>
    <t>Rendement hydromécanique</t>
  </si>
  <si>
    <r>
      <t>Couple</t>
    </r>
    <r>
      <rPr>
        <sz val="9"/>
        <color theme="1"/>
        <rFont val="Calibri"/>
        <family val="2"/>
        <scheme val="minor"/>
      </rPr>
      <t>-&gt;(pression x cylindré)/(</t>
    </r>
    <r>
      <rPr>
        <sz val="9"/>
        <color theme="1"/>
        <rFont val="Calibri"/>
        <family val="2"/>
      </rPr>
      <t>πX rendement X 20)</t>
    </r>
  </si>
  <si>
    <t>l</t>
  </si>
  <si>
    <r>
      <t>Cylindré</t>
    </r>
    <r>
      <rPr>
        <sz val="8"/>
        <color theme="1"/>
        <rFont val="Calibri"/>
        <family val="2"/>
        <scheme val="minor"/>
      </rPr>
      <t>-&gt;(couple x π x rendement hydromec x 20)/pression</t>
    </r>
  </si>
  <si>
    <r>
      <rPr>
        <b/>
        <sz val="11"/>
        <color theme="1"/>
        <rFont val="Calibri"/>
        <family val="2"/>
        <scheme val="minor"/>
      </rPr>
      <t>Pression</t>
    </r>
    <r>
      <rPr>
        <sz val="9"/>
        <color theme="1"/>
        <rFont val="Calibri"/>
        <family val="2"/>
        <scheme val="minor"/>
      </rPr>
      <t>-&gt;</t>
    </r>
    <r>
      <rPr>
        <sz val="11"/>
        <color theme="1"/>
        <rFont val="Calibri"/>
        <family val="2"/>
        <scheme val="minor"/>
      </rPr>
      <t xml:space="preserve">couple x rendement x </t>
    </r>
    <r>
      <rPr>
        <sz val="11"/>
        <color theme="1"/>
        <rFont val="Calibri"/>
        <family val="2"/>
      </rPr>
      <t>πx 20/cylindrée</t>
    </r>
  </si>
  <si>
    <t>cm³</t>
  </si>
  <si>
    <t>Puissance d'entrainement</t>
  </si>
  <si>
    <t>Couple d'entrainement</t>
  </si>
  <si>
    <t>Egalité de base: Puissance x 600 x rendement tot = pression x débit</t>
  </si>
  <si>
    <t>Rendement total (entre 0,7 et 0,9)</t>
  </si>
  <si>
    <t>Rendment tot</t>
  </si>
  <si>
    <r>
      <rPr>
        <b/>
        <sz val="11"/>
        <color theme="1"/>
        <rFont val="Calibri"/>
        <family val="2"/>
        <scheme val="minor"/>
      </rPr>
      <t>Puissance</t>
    </r>
    <r>
      <rPr>
        <sz val="9"/>
        <color theme="1"/>
        <rFont val="Calibri"/>
        <family val="2"/>
        <scheme val="minor"/>
      </rPr>
      <t>-&gt;(pression x débit)/(600 x rendement tot)</t>
    </r>
  </si>
  <si>
    <r>
      <t>Puissance</t>
    </r>
    <r>
      <rPr>
        <sz val="9"/>
        <color theme="1"/>
        <rFont val="Calibri"/>
        <family val="2"/>
        <scheme val="minor"/>
      </rPr>
      <t>-&gt;(couple x régime)/9550</t>
    </r>
  </si>
  <si>
    <r>
      <t>Débit</t>
    </r>
    <r>
      <rPr>
        <sz val="9"/>
        <color theme="1"/>
        <rFont val="Calibri"/>
        <family val="2"/>
        <scheme val="minor"/>
      </rPr>
      <t>-&gt;(puissance x 600 x rendement tot)/pression</t>
    </r>
  </si>
  <si>
    <t xml:space="preserve">Débit </t>
  </si>
  <si>
    <t>Rendement tot</t>
  </si>
  <si>
    <r>
      <t>Pression</t>
    </r>
    <r>
      <rPr>
        <sz val="9"/>
        <color theme="1"/>
        <rFont val="Calibri"/>
        <family val="2"/>
        <scheme val="minor"/>
      </rPr>
      <t>-&gt; (puissance x 600 x rendement tot)/débit</t>
    </r>
  </si>
  <si>
    <t>Perte de charge conduite / tuyau</t>
  </si>
  <si>
    <t>Nombre de Reynold</t>
  </si>
  <si>
    <t xml:space="preserve">Diamètre interieur du tube </t>
  </si>
  <si>
    <t>Viscosité cinématique</t>
  </si>
  <si>
    <t>mm²/s</t>
  </si>
  <si>
    <r>
      <rPr>
        <b/>
        <sz val="11"/>
        <color theme="1"/>
        <rFont val="Calibri"/>
        <family val="2"/>
        <scheme val="minor"/>
      </rPr>
      <t>Nombre Reynold</t>
    </r>
    <r>
      <rPr>
        <sz val="9"/>
        <color theme="1"/>
        <rFont val="Calibri"/>
        <family val="2"/>
        <scheme val="minor"/>
      </rPr>
      <t>-&gt;( vitesse écoul x diamètre)/viscosité</t>
    </r>
  </si>
  <si>
    <t>Rendement volumétrique =&gt; aux pertes par fuites internes</t>
  </si>
  <si>
    <t>Rendement volumétrique (entre 0,9 et 0,97)</t>
  </si>
  <si>
    <t>Cercle</t>
  </si>
  <si>
    <t>Rayon</t>
  </si>
  <si>
    <t>Diamètre</t>
  </si>
  <si>
    <t>Circonférence</t>
  </si>
  <si>
    <t>Couronne</t>
  </si>
  <si>
    <t>Surface (A)</t>
  </si>
  <si>
    <t>Largeur (b)</t>
  </si>
  <si>
    <t>Diam ext (d1)</t>
  </si>
  <si>
    <t>Diam int (d2)</t>
  </si>
  <si>
    <t>Diam moyen</t>
  </si>
  <si>
    <t>Calculs de rendements</t>
  </si>
  <si>
    <t>Rendement volumétrique = débit mesuré/débit théorique(calculé)</t>
  </si>
  <si>
    <t>Force (surface tige)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</si>
</sst>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</font>
    <font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3" borderId="1" xfId="0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164" fontId="1" fillId="4" borderId="1" xfId="0" applyNumberFormat="1" applyFont="1" applyFill="1" applyBorder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ill="1" applyAlignment="1">
      <alignment horizontal="right" vertical="center"/>
    </xf>
    <xf numFmtId="0" fontId="0" fillId="6" borderId="0" xfId="0" applyFill="1" applyAlignment="1">
      <alignment vertical="center"/>
    </xf>
    <xf numFmtId="0" fontId="0" fillId="5" borderId="0" xfId="0" applyFill="1" applyAlignment="1">
      <alignment vertical="center"/>
    </xf>
    <xf numFmtId="164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164" fontId="1" fillId="7" borderId="1" xfId="0" applyNumberFormat="1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9" borderId="1" xfId="0" applyFill="1" applyBorder="1" applyAlignment="1">
      <alignment vertical="center"/>
    </xf>
    <xf numFmtId="0" fontId="0" fillId="10" borderId="0" xfId="0" applyFill="1" applyAlignment="1">
      <alignment vertical="center"/>
    </xf>
    <xf numFmtId="0" fontId="0" fillId="11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12" borderId="0" xfId="0" applyFill="1" applyAlignment="1">
      <alignment vertical="center"/>
    </xf>
    <xf numFmtId="0" fontId="0" fillId="13" borderId="0" xfId="0" applyFill="1" applyAlignment="1">
      <alignment vertical="center"/>
    </xf>
    <xf numFmtId="0" fontId="0" fillId="12" borderId="0" xfId="0" applyFill="1" applyAlignment="1">
      <alignment horizontal="right" vertical="center"/>
    </xf>
    <xf numFmtId="0" fontId="0" fillId="14" borderId="0" xfId="0" applyFill="1" applyAlignment="1">
      <alignment vertical="center"/>
    </xf>
    <xf numFmtId="0" fontId="0" fillId="15" borderId="0" xfId="0" applyFill="1" applyAlignment="1">
      <alignment vertical="center"/>
    </xf>
    <xf numFmtId="0" fontId="0" fillId="16" borderId="0" xfId="0" applyFill="1" applyAlignment="1">
      <alignment vertical="center"/>
    </xf>
    <xf numFmtId="0" fontId="0" fillId="17" borderId="0" xfId="0" applyFill="1" applyAlignment="1">
      <alignment vertical="center"/>
    </xf>
    <xf numFmtId="0" fontId="0" fillId="18" borderId="0" xfId="0" applyFill="1" applyAlignment="1">
      <alignment vertical="center"/>
    </xf>
    <xf numFmtId="0" fontId="0" fillId="19" borderId="0" xfId="0" applyFill="1" applyAlignment="1">
      <alignment vertical="center"/>
    </xf>
    <xf numFmtId="0" fontId="0" fillId="20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11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21" borderId="0" xfId="0" applyFill="1" applyAlignment="1">
      <alignment vertical="center"/>
    </xf>
    <xf numFmtId="0" fontId="0" fillId="21" borderId="0" xfId="0" applyFill="1" applyAlignment="1">
      <alignment horizontal="right" vertical="center"/>
    </xf>
    <xf numFmtId="0" fontId="0" fillId="24" borderId="0" xfId="0" applyFill="1" applyAlignment="1">
      <alignment vertical="center"/>
    </xf>
    <xf numFmtId="0" fontId="0" fillId="24" borderId="0" xfId="0" applyFill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22" borderId="1" xfId="0" applyFill="1" applyBorder="1" applyAlignment="1">
      <alignment vertical="center"/>
    </xf>
    <xf numFmtId="0" fontId="0" fillId="25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26" borderId="1" xfId="0" applyFill="1" applyBorder="1" applyAlignment="1">
      <alignment vertical="center"/>
    </xf>
    <xf numFmtId="0" fontId="0" fillId="23" borderId="1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14" borderId="1" xfId="0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0" fillId="17" borderId="1" xfId="0" applyFill="1" applyBorder="1" applyAlignment="1">
      <alignment vertical="center"/>
    </xf>
    <xf numFmtId="0" fontId="0" fillId="16" borderId="1" xfId="0" applyFill="1" applyBorder="1" applyAlignment="1">
      <alignment vertical="center"/>
    </xf>
    <xf numFmtId="0" fontId="0" fillId="19" borderId="1" xfId="0" applyFill="1" applyBorder="1" applyAlignment="1">
      <alignment vertical="center"/>
    </xf>
    <xf numFmtId="0" fontId="0" fillId="20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10" borderId="0" xfId="0" applyFill="1" applyAlignment="1">
      <alignment horizontal="right" vertical="center"/>
    </xf>
    <xf numFmtId="0" fontId="0" fillId="13" borderId="0" xfId="0" applyFill="1" applyAlignment="1">
      <alignment horizontal="center" vertical="center"/>
    </xf>
    <xf numFmtId="0" fontId="0" fillId="13" borderId="0" xfId="0" applyFill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27" borderId="1" xfId="0" applyFill="1" applyBorder="1" applyAlignment="1">
      <alignment vertical="center"/>
    </xf>
    <xf numFmtId="0" fontId="0" fillId="28" borderId="1" xfId="0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8" borderId="0" xfId="0" applyFill="1" applyAlignment="1">
      <alignment horizontal="right" vertical="center"/>
    </xf>
    <xf numFmtId="0" fontId="8" fillId="8" borderId="0" xfId="0" applyFont="1" applyFill="1" applyBorder="1" applyAlignment="1">
      <alignment horizontal="right" vertical="center"/>
    </xf>
    <xf numFmtId="0" fontId="8" fillId="24" borderId="0" xfId="0" applyFont="1" applyFill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0" fontId="0" fillId="4" borderId="0" xfId="0" applyFill="1"/>
    <xf numFmtId="0" fontId="0" fillId="2" borderId="1" xfId="0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4" borderId="12" xfId="0" applyFill="1" applyBorder="1"/>
    <xf numFmtId="0" fontId="0" fillId="0" borderId="0" xfId="0" applyFill="1" applyAlignment="1">
      <alignment vertical="center"/>
    </xf>
    <xf numFmtId="0" fontId="0" fillId="2" borderId="12" xfId="0" applyFill="1" applyBorder="1" applyAlignment="1">
      <alignment horizontal="left"/>
    </xf>
    <xf numFmtId="164" fontId="1" fillId="7" borderId="0" xfId="0" applyNumberFormat="1" applyFont="1" applyFill="1" applyBorder="1" applyAlignment="1">
      <alignment vertical="center"/>
    </xf>
    <xf numFmtId="164" fontId="0" fillId="9" borderId="1" xfId="0" applyNumberFormat="1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0" fontId="0" fillId="9" borderId="17" xfId="0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4" fillId="1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0" fillId="24" borderId="0" xfId="0" applyFill="1" applyAlignment="1">
      <alignment horizontal="right" vertical="center"/>
    </xf>
    <xf numFmtId="0" fontId="0" fillId="24" borderId="0" xfId="0" applyFill="1" applyAlignment="1">
      <alignment horizontal="left" vertical="center"/>
    </xf>
    <xf numFmtId="0" fontId="0" fillId="8" borderId="0" xfId="0" applyFill="1" applyAlignment="1">
      <alignment horizontal="right" vertical="center"/>
    </xf>
    <xf numFmtId="0" fontId="1" fillId="8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4" borderId="0" xfId="0" applyFont="1" applyFill="1" applyAlignment="1">
      <alignment horizontal="left"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left" vertical="center"/>
    </xf>
    <xf numFmtId="0" fontId="0" fillId="8" borderId="4" xfId="0" applyFill="1" applyBorder="1" applyAlignment="1">
      <alignment horizontal="right" vertical="center"/>
    </xf>
    <xf numFmtId="0" fontId="0" fillId="5" borderId="0" xfId="0" applyFill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10" borderId="0" xfId="0" applyFill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0" fillId="15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12" borderId="0" xfId="0" applyFont="1" applyFill="1" applyAlignment="1">
      <alignment horizontal="right" vertical="center"/>
    </xf>
    <xf numFmtId="0" fontId="0" fillId="12" borderId="0" xfId="0" applyFill="1" applyAlignment="1">
      <alignment horizontal="right" vertical="center"/>
    </xf>
    <xf numFmtId="0" fontId="1" fillId="12" borderId="0" xfId="0" applyFont="1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4" fillId="10" borderId="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21" borderId="0" xfId="0" applyFill="1" applyAlignment="1">
      <alignment horizontal="right" vertical="center"/>
    </xf>
    <xf numFmtId="0" fontId="8" fillId="21" borderId="0" xfId="0" applyFont="1" applyFill="1" applyAlignment="1">
      <alignment horizontal="right" vertical="center"/>
    </xf>
    <xf numFmtId="0" fontId="0" fillId="21" borderId="0" xfId="0" applyFill="1" applyAlignment="1">
      <alignment horizontal="right" vertical="center" indent="1"/>
    </xf>
    <xf numFmtId="0" fontId="4" fillId="0" borderId="15" xfId="0" applyFont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1" fillId="21" borderId="0" xfId="0" applyFont="1" applyFill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8" borderId="0" xfId="0" applyFill="1" applyAlignment="1">
      <alignment horizontal="right" vertical="center"/>
    </xf>
    <xf numFmtId="0" fontId="0" fillId="15" borderId="0" xfId="0" applyFill="1" applyAlignment="1">
      <alignment horizontal="right" vertical="center"/>
    </xf>
    <xf numFmtId="0" fontId="1" fillId="10" borderId="0" xfId="0" applyFont="1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10" borderId="0" xfId="0" applyFill="1" applyBorder="1" applyAlignment="1">
      <alignment horizontal="right" vertical="center"/>
    </xf>
    <xf numFmtId="0" fontId="0" fillId="10" borderId="0" xfId="0" applyFill="1" applyAlignment="1">
      <alignment horizontal="right" vertical="center"/>
    </xf>
    <xf numFmtId="0" fontId="1" fillId="21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si.blaisepascal.fr/les-verins/" TargetMode="External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hyperlink" Target="https://www.hydrodis.com/moteurs-hydrauliques/2129-moteurs-hydrauliques-type-omr-semi-rapides-eaton-de-50-a-395-cm3.html" TargetMode="External"/><Relationship Id="rId1" Type="http://schemas.openxmlformats.org/officeDocument/2006/relationships/image" Target="../media/image8.jp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30480</xdr:rowOff>
    </xdr:from>
    <xdr:to>
      <xdr:col>3</xdr:col>
      <xdr:colOff>693420</xdr:colOff>
      <xdr:row>11</xdr:row>
      <xdr:rowOff>68580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C8B0CD-9CE8-4AD4-B4DC-40C459BF13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61" r="2625" b="18635"/>
        <a:stretch/>
      </xdr:blipFill>
      <xdr:spPr bwMode="auto">
        <a:xfrm>
          <a:off x="243840" y="213360"/>
          <a:ext cx="2827020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449581</xdr:colOff>
      <xdr:row>1</xdr:row>
      <xdr:rowOff>15240</xdr:rowOff>
    </xdr:from>
    <xdr:to>
      <xdr:col>4</xdr:col>
      <xdr:colOff>639514</xdr:colOff>
      <xdr:row>8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67648A-1098-4BA5-96BA-F43672DFBF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rcRect t="-1" r="1475" b="4000"/>
        <a:stretch/>
      </xdr:blipFill>
      <xdr:spPr>
        <a:xfrm>
          <a:off x="449581" y="198120"/>
          <a:ext cx="3664653" cy="1264920"/>
        </a:xfrm>
        <a:prstGeom prst="rect">
          <a:avLst/>
        </a:prstGeom>
      </xdr:spPr>
    </xdr:pic>
    <xdr:clientData/>
  </xdr:twoCellAnchor>
  <xdr:twoCellAnchor editAs="oneCell">
    <xdr:from>
      <xdr:col>20</xdr:col>
      <xdr:colOff>788699</xdr:colOff>
      <xdr:row>12</xdr:row>
      <xdr:rowOff>21771</xdr:rowOff>
    </xdr:from>
    <xdr:to>
      <xdr:col>22</xdr:col>
      <xdr:colOff>609600</xdr:colOff>
      <xdr:row>19</xdr:row>
      <xdr:rowOff>69273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AC4855-3AF7-47B6-8749-4B42E34C9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4108" y="2290453"/>
          <a:ext cx="1414174" cy="1406979"/>
        </a:xfrm>
        <a:prstGeom prst="rect">
          <a:avLst/>
        </a:prstGeom>
      </xdr:spPr>
    </xdr:pic>
    <xdr:clientData/>
  </xdr:twoCellAnchor>
  <xdr:twoCellAnchor editAs="oneCell">
    <xdr:from>
      <xdr:col>20</xdr:col>
      <xdr:colOff>491240</xdr:colOff>
      <xdr:row>24</xdr:row>
      <xdr:rowOff>70675</xdr:rowOff>
    </xdr:from>
    <xdr:to>
      <xdr:col>22</xdr:col>
      <xdr:colOff>658092</xdr:colOff>
      <xdr:row>32</xdr:row>
      <xdr:rowOff>86591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528F99D-6688-4F15-98CA-B2983239E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06649" y="4694630"/>
          <a:ext cx="1760125" cy="1513938"/>
        </a:xfrm>
        <a:prstGeom prst="rect">
          <a:avLst/>
        </a:prstGeom>
      </xdr:spPr>
    </xdr:pic>
    <xdr:clientData/>
  </xdr:twoCellAnchor>
  <xdr:twoCellAnchor editAs="oneCell">
    <xdr:from>
      <xdr:col>28</xdr:col>
      <xdr:colOff>34636</xdr:colOff>
      <xdr:row>12</xdr:row>
      <xdr:rowOff>51954</xdr:rowOff>
    </xdr:from>
    <xdr:to>
      <xdr:col>34</xdr:col>
      <xdr:colOff>646266</xdr:colOff>
      <xdr:row>18</xdr:row>
      <xdr:rowOff>79125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96438E7-2EAC-4F5F-BABB-EFC4B5F4E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487659" y="2320636"/>
          <a:ext cx="5391448" cy="1204807"/>
        </a:xfrm>
        <a:prstGeom prst="rect">
          <a:avLst/>
        </a:prstGeom>
      </xdr:spPr>
    </xdr:pic>
    <xdr:clientData/>
  </xdr:twoCellAnchor>
  <xdr:twoCellAnchor editAs="oneCell">
    <xdr:from>
      <xdr:col>29</xdr:col>
      <xdr:colOff>441614</xdr:colOff>
      <xdr:row>24</xdr:row>
      <xdr:rowOff>17318</xdr:rowOff>
    </xdr:from>
    <xdr:to>
      <xdr:col>36</xdr:col>
      <xdr:colOff>15769</xdr:colOff>
      <xdr:row>31</xdr:row>
      <xdr:rowOff>35145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CA31A42-E287-4A0B-812B-729D159C5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691273" y="4641273"/>
          <a:ext cx="5150610" cy="1334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242621</xdr:colOff>
      <xdr:row>39</xdr:row>
      <xdr:rowOff>181966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331C96-4B84-4213-87DC-4FB2F817B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52381" cy="73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251460</xdr:colOff>
      <xdr:row>0</xdr:row>
      <xdr:rowOff>129540</xdr:rowOff>
    </xdr:from>
    <xdr:to>
      <xdr:col>4</xdr:col>
      <xdr:colOff>190500</xdr:colOff>
      <xdr:row>10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8ADC228-9B9D-4DAC-B727-FEB908026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rcRect t="11184" b="12171"/>
        <a:stretch/>
      </xdr:blipFill>
      <xdr:spPr>
        <a:xfrm>
          <a:off x="1043940" y="129540"/>
          <a:ext cx="2316480" cy="177546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15</xdr:col>
      <xdr:colOff>594892</xdr:colOff>
      <xdr:row>18</xdr:row>
      <xdr:rowOff>167690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6A5BDF-1241-4ADC-9DB6-BBE6206F2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9840" y="3002280"/>
          <a:ext cx="6142252" cy="57917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11</xdr:row>
      <xdr:rowOff>0</xdr:rowOff>
    </xdr:from>
    <xdr:to>
      <xdr:col>26</xdr:col>
      <xdr:colOff>221549</xdr:colOff>
      <xdr:row>30</xdr:row>
      <xdr:rowOff>147369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234BC69-0DED-429D-A9E8-4E8437E63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64640" y="2011680"/>
          <a:ext cx="6561389" cy="381795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35</xdr:row>
      <xdr:rowOff>0</xdr:rowOff>
    </xdr:from>
    <xdr:to>
      <xdr:col>26</xdr:col>
      <xdr:colOff>198687</xdr:colOff>
      <xdr:row>47</xdr:row>
      <xdr:rowOff>110930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394968E-C535-4089-A3CF-FB2268CD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64640" y="6614160"/>
          <a:ext cx="6538527" cy="2370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144780</xdr:rowOff>
    </xdr:from>
    <xdr:to>
      <xdr:col>4</xdr:col>
      <xdr:colOff>358140</xdr:colOff>
      <xdr:row>12</xdr:row>
      <xdr:rowOff>41085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DA9C2C4-F599-4B62-A0A6-1739B666E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44780"/>
          <a:ext cx="3421380" cy="2106105"/>
        </a:xfrm>
        <a:prstGeom prst="rect">
          <a:avLst/>
        </a:prstGeom>
      </xdr:spPr>
    </xdr:pic>
    <xdr:clientData/>
  </xdr:twoCellAnchor>
  <xdr:twoCellAnchor editAs="oneCell">
    <xdr:from>
      <xdr:col>3</xdr:col>
      <xdr:colOff>259080</xdr:colOff>
      <xdr:row>43</xdr:row>
      <xdr:rowOff>38100</xdr:rowOff>
    </xdr:from>
    <xdr:to>
      <xdr:col>10</xdr:col>
      <xdr:colOff>671076</xdr:colOff>
      <xdr:row>60</xdr:row>
      <xdr:rowOff>84093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A108414-DD2F-4376-9B2F-E6316CE5D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520" y="8115300"/>
          <a:ext cx="5959356" cy="315495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16</xdr:col>
      <xdr:colOff>61446</xdr:colOff>
      <xdr:row>19</xdr:row>
      <xdr:rowOff>114490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2586EDC-10A1-456D-A7C1-67758659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2320" y="1463040"/>
          <a:ext cx="5608806" cy="2187130"/>
        </a:xfrm>
        <a:prstGeom prst="rect">
          <a:avLst/>
        </a:prstGeom>
        <a:ln w="38100"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6259F-4F85-4AD6-995A-98AE1A76817E}">
  <dimension ref="B5:Q88"/>
  <sheetViews>
    <sheetView topLeftCell="A33" workbookViewId="0">
      <selection activeCell="I11" sqref="I11"/>
    </sheetView>
  </sheetViews>
  <sheetFormatPr baseColWidth="10" defaultRowHeight="14.4" x14ac:dyDescent="0.3"/>
  <cols>
    <col min="1" max="16384" width="11.5546875" style="2"/>
  </cols>
  <sheetData>
    <row r="5" spans="2:17" ht="14.4" customHeight="1" x14ac:dyDescent="0.3">
      <c r="B5" s="101" t="s">
        <v>136</v>
      </c>
      <c r="C5" s="101"/>
      <c r="D5" s="101"/>
      <c r="E5" s="101"/>
      <c r="F5" s="101"/>
      <c r="G5" s="101"/>
      <c r="H5" s="101"/>
      <c r="I5" s="101"/>
      <c r="J5" s="101"/>
      <c r="K5" s="1"/>
      <c r="L5" s="1"/>
    </row>
    <row r="6" spans="2:17" ht="14.4" customHeight="1" x14ac:dyDescent="0.3">
      <c r="B6" s="101"/>
      <c r="C6" s="101"/>
      <c r="D6" s="101"/>
      <c r="E6" s="101"/>
      <c r="F6" s="101"/>
      <c r="G6" s="101"/>
      <c r="H6" s="101"/>
      <c r="I6" s="101"/>
      <c r="J6" s="101"/>
      <c r="K6" s="1"/>
      <c r="L6" s="97" t="s">
        <v>180</v>
      </c>
      <c r="M6" s="97"/>
      <c r="N6" s="97"/>
      <c r="O6" s="97"/>
      <c r="Q6" s="2" t="s">
        <v>181</v>
      </c>
    </row>
    <row r="7" spans="2:17" ht="14.4" customHeight="1" x14ac:dyDescent="0.3">
      <c r="B7" s="101"/>
      <c r="C7" s="101"/>
      <c r="D7" s="101"/>
      <c r="E7" s="101"/>
      <c r="F7" s="101"/>
      <c r="G7" s="101"/>
      <c r="H7" s="101"/>
      <c r="I7" s="101"/>
      <c r="J7" s="101"/>
      <c r="K7" s="1"/>
      <c r="L7" s="97"/>
      <c r="M7" s="97"/>
      <c r="N7" s="97"/>
      <c r="O7" s="97"/>
    </row>
    <row r="12" spans="2:17" ht="21.6" customHeight="1" x14ac:dyDescent="0.3">
      <c r="E12" s="102" t="s">
        <v>73</v>
      </c>
      <c r="F12" s="103"/>
      <c r="G12" s="103"/>
      <c r="K12" s="46"/>
    </row>
    <row r="13" spans="2:17" ht="15" thickBot="1" x14ac:dyDescent="0.35">
      <c r="K13" s="46"/>
      <c r="L13" s="46"/>
      <c r="M13" s="46"/>
    </row>
    <row r="14" spans="2:17" ht="18.600000000000001" thickBot="1" x14ac:dyDescent="0.35">
      <c r="B14" s="98" t="s">
        <v>137</v>
      </c>
      <c r="C14" s="99"/>
      <c r="D14" s="99"/>
      <c r="E14" s="99"/>
      <c r="F14" s="99"/>
      <c r="G14" s="99"/>
      <c r="H14" s="99"/>
      <c r="I14" s="99"/>
      <c r="J14" s="100"/>
      <c r="K14" s="70"/>
      <c r="L14" s="70"/>
      <c r="M14" s="70"/>
    </row>
    <row r="15" spans="2:17" x14ac:dyDescent="0.3">
      <c r="K15" s="46"/>
      <c r="L15" s="46"/>
      <c r="M15" s="46"/>
    </row>
    <row r="16" spans="2:17" ht="15" thickBot="1" x14ac:dyDescent="0.35">
      <c r="K16" s="46"/>
      <c r="L16" s="46"/>
      <c r="M16" s="46"/>
    </row>
    <row r="17" spans="2:16" ht="18.600000000000001" thickBot="1" x14ac:dyDescent="0.35">
      <c r="B17" s="106" t="s">
        <v>68</v>
      </c>
      <c r="C17" s="106"/>
      <c r="D17" s="106"/>
      <c r="E17" s="106"/>
      <c r="F17" s="96"/>
      <c r="H17" s="2" t="s">
        <v>168</v>
      </c>
      <c r="K17" s="46"/>
    </row>
    <row r="19" spans="2:16" ht="18" x14ac:dyDescent="0.3">
      <c r="B19" s="104" t="s">
        <v>50</v>
      </c>
      <c r="C19" s="104"/>
      <c r="D19" s="104"/>
      <c r="E19" s="104"/>
      <c r="F19" s="104"/>
      <c r="G19" s="104"/>
      <c r="I19" s="104" t="s">
        <v>50</v>
      </c>
      <c r="J19" s="104"/>
      <c r="K19" s="104"/>
      <c r="L19" s="104"/>
      <c r="M19" s="104"/>
      <c r="N19" s="104"/>
      <c r="O19" s="72"/>
      <c r="P19" s="72"/>
    </row>
    <row r="20" spans="2:16" x14ac:dyDescent="0.3">
      <c r="B20" s="8"/>
      <c r="C20" s="8"/>
      <c r="D20" s="8"/>
      <c r="E20" s="8"/>
      <c r="F20" s="8"/>
      <c r="G20" s="8"/>
      <c r="I20" s="8"/>
      <c r="J20" s="8"/>
      <c r="K20" s="51"/>
      <c r="L20" s="51"/>
      <c r="M20" s="51"/>
      <c r="N20" s="51"/>
      <c r="O20" s="72"/>
      <c r="P20" s="72"/>
    </row>
    <row r="21" spans="2:16" x14ac:dyDescent="0.3">
      <c r="B21" s="8"/>
      <c r="C21" s="105" t="s">
        <v>138</v>
      </c>
      <c r="D21" s="105"/>
      <c r="E21" s="10"/>
      <c r="F21" s="8" t="s">
        <v>140</v>
      </c>
      <c r="G21" s="8"/>
      <c r="I21" s="8"/>
      <c r="J21" s="105" t="s">
        <v>24</v>
      </c>
      <c r="K21" s="105"/>
      <c r="L21" s="10"/>
      <c r="M21" s="51" t="s">
        <v>94</v>
      </c>
      <c r="N21" s="51"/>
      <c r="O21" s="72"/>
      <c r="P21" s="72"/>
    </row>
    <row r="22" spans="2:16" x14ac:dyDescent="0.3">
      <c r="B22" s="8"/>
      <c r="C22" s="105" t="s">
        <v>64</v>
      </c>
      <c r="D22" s="105"/>
      <c r="E22" s="10"/>
      <c r="F22" s="8" t="s">
        <v>67</v>
      </c>
      <c r="G22" s="8"/>
      <c r="I22" s="8"/>
      <c r="J22" s="105" t="s">
        <v>36</v>
      </c>
      <c r="K22" s="105"/>
      <c r="L22" s="10"/>
      <c r="M22" s="51" t="s">
        <v>27</v>
      </c>
      <c r="N22" s="51"/>
      <c r="O22" s="72"/>
      <c r="P22" s="72"/>
    </row>
    <row r="23" spans="2:16" x14ac:dyDescent="0.3">
      <c r="B23" s="8"/>
      <c r="C23" s="105" t="s">
        <v>65</v>
      </c>
      <c r="D23" s="105"/>
      <c r="E23" s="10"/>
      <c r="F23" s="8"/>
      <c r="G23" s="8"/>
      <c r="I23" s="8"/>
      <c r="J23" s="105" t="s">
        <v>92</v>
      </c>
      <c r="K23" s="105"/>
      <c r="L23" s="10">
        <f>G80</f>
        <v>0</v>
      </c>
      <c r="M23" s="51"/>
      <c r="N23" s="51"/>
      <c r="O23" s="72"/>
      <c r="P23" s="72"/>
    </row>
    <row r="24" spans="2:16" x14ac:dyDescent="0.3">
      <c r="B24" s="8"/>
      <c r="C24" s="8"/>
      <c r="D24" s="8"/>
      <c r="E24" s="8"/>
      <c r="F24" s="8"/>
      <c r="G24" s="8"/>
      <c r="I24" s="8"/>
      <c r="J24" s="8"/>
      <c r="K24" s="51"/>
      <c r="L24" s="51"/>
      <c r="M24" s="51"/>
      <c r="N24" s="51"/>
      <c r="O24" s="72"/>
      <c r="P24" s="72"/>
    </row>
    <row r="25" spans="2:16" x14ac:dyDescent="0.3">
      <c r="B25" s="107" t="s">
        <v>139</v>
      </c>
      <c r="C25" s="107"/>
      <c r="D25" s="107"/>
      <c r="E25" s="54">
        <f>(E21*E22*E23)/1000</f>
        <v>0</v>
      </c>
      <c r="F25" s="8" t="s">
        <v>51</v>
      </c>
      <c r="G25" s="8"/>
      <c r="I25" s="112" t="s">
        <v>158</v>
      </c>
      <c r="J25" s="112"/>
      <c r="K25" s="112"/>
      <c r="L25" s="54" t="e">
        <f>(L21*600*L23)/L22</f>
        <v>#DIV/0!</v>
      </c>
      <c r="M25" s="51" t="s">
        <v>51</v>
      </c>
      <c r="N25" s="51"/>
      <c r="O25" s="46"/>
      <c r="P25" s="46"/>
    </row>
    <row r="28" spans="2:16" ht="18" x14ac:dyDescent="0.3">
      <c r="B28" s="104" t="s">
        <v>70</v>
      </c>
      <c r="C28" s="104"/>
      <c r="D28" s="104"/>
      <c r="E28" s="104"/>
      <c r="F28" s="104"/>
      <c r="G28" s="104"/>
      <c r="I28" s="104" t="s">
        <v>70</v>
      </c>
      <c r="J28" s="113"/>
      <c r="K28" s="113"/>
      <c r="L28" s="113"/>
      <c r="M28" s="113"/>
      <c r="N28" s="113"/>
    </row>
    <row r="29" spans="2:16" x14ac:dyDescent="0.3">
      <c r="B29" s="49"/>
      <c r="C29" s="49"/>
      <c r="D29" s="49"/>
      <c r="E29" s="49"/>
      <c r="F29" s="49"/>
      <c r="G29" s="49"/>
      <c r="I29" s="49"/>
      <c r="J29" s="49"/>
      <c r="K29" s="49"/>
      <c r="L29" s="49"/>
      <c r="M29" s="49"/>
      <c r="N29" s="49"/>
    </row>
    <row r="30" spans="2:16" x14ac:dyDescent="0.3">
      <c r="B30" s="49"/>
      <c r="C30" s="108" t="s">
        <v>50</v>
      </c>
      <c r="D30" s="108"/>
      <c r="E30" s="53"/>
      <c r="F30" s="49" t="s">
        <v>51</v>
      </c>
      <c r="G30" s="49"/>
      <c r="I30" s="49"/>
      <c r="J30" s="108" t="s">
        <v>79</v>
      </c>
      <c r="K30" s="108"/>
      <c r="L30" s="53"/>
      <c r="M30" s="49" t="s">
        <v>84</v>
      </c>
      <c r="N30" s="49"/>
    </row>
    <row r="31" spans="2:16" x14ac:dyDescent="0.3">
      <c r="B31" s="49"/>
      <c r="C31" s="108" t="s">
        <v>64</v>
      </c>
      <c r="D31" s="108"/>
      <c r="E31" s="53"/>
      <c r="F31" s="49" t="s">
        <v>67</v>
      </c>
      <c r="G31" s="49"/>
      <c r="I31" s="49"/>
      <c r="J31" s="108" t="s">
        <v>36</v>
      </c>
      <c r="K31" s="108"/>
      <c r="L31" s="53"/>
      <c r="M31" s="49" t="s">
        <v>27</v>
      </c>
      <c r="N31" s="49"/>
    </row>
    <row r="32" spans="2:16" x14ac:dyDescent="0.3">
      <c r="B32" s="49"/>
      <c r="C32" s="108" t="s">
        <v>96</v>
      </c>
      <c r="D32" s="108"/>
      <c r="E32" s="53">
        <f>F17</f>
        <v>0</v>
      </c>
      <c r="F32" s="49"/>
      <c r="G32" s="49"/>
      <c r="I32" s="49"/>
      <c r="J32" s="49"/>
      <c r="K32" s="79" t="s">
        <v>81</v>
      </c>
      <c r="L32" s="53"/>
      <c r="M32" s="49"/>
      <c r="N32" s="49"/>
    </row>
    <row r="33" spans="2:14" x14ac:dyDescent="0.3">
      <c r="B33" s="49"/>
      <c r="C33" s="49"/>
      <c r="D33" s="49"/>
      <c r="E33" s="49"/>
      <c r="F33" s="49"/>
      <c r="G33" s="49"/>
      <c r="I33" s="108" t="s">
        <v>145</v>
      </c>
      <c r="J33" s="108"/>
      <c r="K33" s="108"/>
      <c r="L33" s="53">
        <f>G52</f>
        <v>0</v>
      </c>
      <c r="M33" s="49"/>
      <c r="N33" s="49"/>
    </row>
    <row r="34" spans="2:14" x14ac:dyDescent="0.3">
      <c r="B34" s="109" t="s">
        <v>141</v>
      </c>
      <c r="C34" s="109"/>
      <c r="D34" s="109"/>
      <c r="E34" s="55" t="e">
        <f>(E30*1000)/(E31*E32)</f>
        <v>#DIV/0!</v>
      </c>
      <c r="F34" s="49" t="s">
        <v>150</v>
      </c>
      <c r="G34" s="49"/>
      <c r="I34" s="114" t="s">
        <v>148</v>
      </c>
      <c r="J34" s="114"/>
      <c r="K34" s="114"/>
      <c r="L34" s="55" t="e">
        <f>(L30*L32*L33*20)/L31</f>
        <v>#DIV/0!</v>
      </c>
      <c r="M34" s="49" t="s">
        <v>150</v>
      </c>
      <c r="N34" s="49"/>
    </row>
    <row r="35" spans="2:14" x14ac:dyDescent="0.3">
      <c r="I35" s="5"/>
      <c r="J35" s="5"/>
      <c r="K35" s="5"/>
    </row>
    <row r="37" spans="2:14" ht="18" x14ac:dyDescent="0.3">
      <c r="B37" s="104" t="s">
        <v>64</v>
      </c>
      <c r="C37" s="104"/>
      <c r="D37" s="104"/>
      <c r="E37" s="104"/>
      <c r="F37" s="104"/>
      <c r="G37" s="104"/>
    </row>
    <row r="38" spans="2:14" x14ac:dyDescent="0.3">
      <c r="B38" s="26"/>
      <c r="C38" s="26"/>
      <c r="D38" s="26"/>
      <c r="E38" s="26"/>
      <c r="F38" s="26"/>
      <c r="G38" s="26"/>
    </row>
    <row r="39" spans="2:14" x14ac:dyDescent="0.3">
      <c r="B39" s="26"/>
      <c r="C39" s="110" t="s">
        <v>50</v>
      </c>
      <c r="D39" s="110"/>
      <c r="E39" s="74"/>
      <c r="F39" s="26" t="s">
        <v>51</v>
      </c>
      <c r="G39" s="26"/>
    </row>
    <row r="40" spans="2:14" x14ac:dyDescent="0.3">
      <c r="B40" s="26"/>
      <c r="C40" s="110" t="s">
        <v>70</v>
      </c>
      <c r="D40" s="110"/>
      <c r="E40" s="74"/>
      <c r="F40" s="26" t="s">
        <v>140</v>
      </c>
      <c r="G40" s="26"/>
    </row>
    <row r="41" spans="2:14" x14ac:dyDescent="0.3">
      <c r="B41" s="26"/>
      <c r="C41" s="110" t="s">
        <v>96</v>
      </c>
      <c r="D41" s="110"/>
      <c r="E41" s="74">
        <f>F17</f>
        <v>0</v>
      </c>
      <c r="F41" s="26"/>
      <c r="G41" s="26"/>
    </row>
    <row r="42" spans="2:14" x14ac:dyDescent="0.3">
      <c r="B42" s="26"/>
      <c r="C42" s="26"/>
      <c r="D42" s="26"/>
      <c r="E42" s="26"/>
      <c r="F42" s="26"/>
      <c r="G42" s="26"/>
    </row>
    <row r="43" spans="2:14" x14ac:dyDescent="0.3">
      <c r="B43" s="111" t="s">
        <v>142</v>
      </c>
      <c r="C43" s="111"/>
      <c r="D43" s="111"/>
      <c r="E43" s="75" t="e">
        <f>(E39*1000)/(E40*E41)</f>
        <v>#DIV/0!</v>
      </c>
      <c r="F43" s="26" t="s">
        <v>67</v>
      </c>
      <c r="G43" s="26"/>
    </row>
    <row r="47" spans="2:14" ht="21" x14ac:dyDescent="0.3">
      <c r="E47" s="102" t="s">
        <v>152</v>
      </c>
      <c r="F47" s="103"/>
      <c r="G47" s="103"/>
    </row>
    <row r="48" spans="2:14" ht="15" thickBot="1" x14ac:dyDescent="0.35">
      <c r="K48" s="46"/>
    </row>
    <row r="49" spans="2:14" ht="18.600000000000001" thickBot="1" x14ac:dyDescent="0.35">
      <c r="B49" s="98" t="s">
        <v>144</v>
      </c>
      <c r="C49" s="99"/>
      <c r="D49" s="99"/>
      <c r="E49" s="99"/>
      <c r="F49" s="99"/>
      <c r="G49" s="99"/>
      <c r="H49" s="99"/>
      <c r="I49" s="99"/>
      <c r="J49" s="99"/>
      <c r="K49" s="76"/>
      <c r="L49" s="70"/>
      <c r="M49" s="70"/>
    </row>
    <row r="50" spans="2:14" x14ac:dyDescent="0.3">
      <c r="K50" s="46"/>
      <c r="L50" s="46"/>
      <c r="M50" s="46"/>
    </row>
    <row r="51" spans="2:14" ht="15" thickBot="1" x14ac:dyDescent="0.35"/>
    <row r="52" spans="2:14" ht="18.600000000000001" thickBot="1" x14ac:dyDescent="0.35">
      <c r="B52" s="115" t="s">
        <v>143</v>
      </c>
      <c r="C52" s="115"/>
      <c r="D52" s="115"/>
      <c r="E52" s="115"/>
      <c r="F52" s="116"/>
      <c r="G52" s="95"/>
    </row>
    <row r="54" spans="2:14" ht="18" x14ac:dyDescent="0.3">
      <c r="B54" s="104" t="s">
        <v>79</v>
      </c>
      <c r="C54" s="104"/>
      <c r="D54" s="104"/>
      <c r="E54" s="104"/>
      <c r="F54" s="104"/>
      <c r="G54" s="104"/>
    </row>
    <row r="55" spans="2:14" x14ac:dyDescent="0.3">
      <c r="B55" s="26"/>
      <c r="C55" s="26"/>
      <c r="D55" s="26"/>
      <c r="E55" s="26"/>
      <c r="F55" s="26"/>
      <c r="G55" s="26"/>
    </row>
    <row r="56" spans="2:14" x14ac:dyDescent="0.3">
      <c r="B56" s="26"/>
      <c r="C56" s="110" t="s">
        <v>36</v>
      </c>
      <c r="D56" s="110"/>
      <c r="E56" s="74"/>
      <c r="F56" s="26" t="s">
        <v>27</v>
      </c>
      <c r="G56" s="26"/>
    </row>
    <row r="57" spans="2:14" x14ac:dyDescent="0.3">
      <c r="B57" s="26"/>
      <c r="C57" s="110" t="s">
        <v>70</v>
      </c>
      <c r="D57" s="110"/>
      <c r="E57" s="74"/>
      <c r="F57" s="26" t="s">
        <v>140</v>
      </c>
      <c r="G57" s="26"/>
    </row>
    <row r="58" spans="2:14" x14ac:dyDescent="0.3">
      <c r="B58" s="110" t="s">
        <v>145</v>
      </c>
      <c r="C58" s="110"/>
      <c r="D58" s="118"/>
      <c r="E58" s="74">
        <f>G52</f>
        <v>0</v>
      </c>
      <c r="F58" s="26"/>
      <c r="G58" s="26"/>
    </row>
    <row r="59" spans="2:14" x14ac:dyDescent="0.3">
      <c r="B59" s="77"/>
      <c r="C59" s="77"/>
      <c r="D59" s="78" t="s">
        <v>81</v>
      </c>
      <c r="E59" s="74">
        <f>PI()</f>
        <v>3.1415926535897931</v>
      </c>
      <c r="F59" s="26"/>
      <c r="G59" s="26"/>
    </row>
    <row r="60" spans="2:14" x14ac:dyDescent="0.3">
      <c r="B60" s="26"/>
      <c r="C60" s="26"/>
      <c r="D60" s="26"/>
      <c r="E60" s="26"/>
      <c r="F60" s="26"/>
      <c r="G60" s="26"/>
    </row>
    <row r="61" spans="2:14" x14ac:dyDescent="0.3">
      <c r="B61" s="117" t="s">
        <v>146</v>
      </c>
      <c r="C61" s="117"/>
      <c r="D61" s="117"/>
      <c r="E61" s="75" t="e">
        <f>(E56*E57)/(E59*E58*20)</f>
        <v>#DIV/0!</v>
      </c>
      <c r="F61" s="26" t="s">
        <v>84</v>
      </c>
      <c r="G61" s="26"/>
    </row>
    <row r="62" spans="2:14" x14ac:dyDescent="0.3">
      <c r="E62" s="2" t="s">
        <v>147</v>
      </c>
    </row>
    <row r="64" spans="2:14" ht="18" x14ac:dyDescent="0.3">
      <c r="B64" s="104" t="s">
        <v>36</v>
      </c>
      <c r="C64" s="104"/>
      <c r="D64" s="104"/>
      <c r="E64" s="104"/>
      <c r="F64" s="104"/>
      <c r="G64" s="104"/>
      <c r="I64" s="104" t="s">
        <v>36</v>
      </c>
      <c r="J64" s="113"/>
      <c r="K64" s="113"/>
      <c r="L64" s="113"/>
      <c r="M64" s="113"/>
      <c r="N64" s="113"/>
    </row>
    <row r="65" spans="2:14" x14ac:dyDescent="0.3">
      <c r="B65" s="49"/>
      <c r="C65" s="49"/>
      <c r="D65" s="49"/>
      <c r="E65" s="49"/>
      <c r="F65" s="49"/>
      <c r="G65" s="49"/>
      <c r="I65" s="49"/>
      <c r="J65" s="49"/>
      <c r="K65" s="49"/>
      <c r="L65" s="49"/>
      <c r="M65" s="49"/>
      <c r="N65" s="49"/>
    </row>
    <row r="66" spans="2:14" x14ac:dyDescent="0.3">
      <c r="B66" s="49"/>
      <c r="C66" s="49"/>
      <c r="D66" s="50" t="s">
        <v>79</v>
      </c>
      <c r="E66" s="53"/>
      <c r="F66" s="49" t="s">
        <v>84</v>
      </c>
      <c r="G66" s="49"/>
      <c r="I66" s="49"/>
      <c r="J66" s="49"/>
      <c r="K66" s="50" t="s">
        <v>24</v>
      </c>
      <c r="L66" s="53"/>
      <c r="M66" s="49" t="s">
        <v>94</v>
      </c>
      <c r="N66" s="49"/>
    </row>
    <row r="67" spans="2:14" x14ac:dyDescent="0.3">
      <c r="B67" s="49"/>
      <c r="C67" s="108" t="s">
        <v>70</v>
      </c>
      <c r="D67" s="108"/>
      <c r="E67" s="53"/>
      <c r="F67" s="49" t="s">
        <v>140</v>
      </c>
      <c r="G67" s="49"/>
      <c r="I67" s="49"/>
      <c r="J67" s="49"/>
      <c r="K67" s="50" t="s">
        <v>159</v>
      </c>
      <c r="L67" s="53"/>
      <c r="M67" s="49" t="s">
        <v>51</v>
      </c>
      <c r="N67" s="49"/>
    </row>
    <row r="68" spans="2:14" x14ac:dyDescent="0.3">
      <c r="B68" s="49"/>
      <c r="C68" s="49"/>
      <c r="D68" s="50" t="s">
        <v>81</v>
      </c>
      <c r="E68" s="49">
        <f>PI()</f>
        <v>3.1415926535897931</v>
      </c>
      <c r="F68" s="49"/>
      <c r="G68" s="49"/>
      <c r="I68" s="49"/>
      <c r="J68" s="108" t="s">
        <v>160</v>
      </c>
      <c r="K68" s="108"/>
      <c r="L68" s="53">
        <f>G80</f>
        <v>0</v>
      </c>
      <c r="M68" s="49"/>
      <c r="N68" s="49"/>
    </row>
    <row r="69" spans="2:14" x14ac:dyDescent="0.3">
      <c r="B69" s="108" t="s">
        <v>145</v>
      </c>
      <c r="C69" s="108"/>
      <c r="D69" s="108"/>
      <c r="E69" s="53">
        <f>G52</f>
        <v>0</v>
      </c>
      <c r="F69" s="49"/>
      <c r="G69" s="49"/>
      <c r="I69" s="49"/>
      <c r="J69" s="49"/>
      <c r="K69" s="49"/>
      <c r="L69" s="49"/>
      <c r="M69" s="49"/>
      <c r="N69" s="49"/>
    </row>
    <row r="70" spans="2:14" x14ac:dyDescent="0.3">
      <c r="B70" s="49"/>
      <c r="C70" s="49"/>
      <c r="D70" s="49"/>
      <c r="E70" s="49"/>
      <c r="F70" s="49"/>
      <c r="G70" s="49"/>
      <c r="I70" s="121" t="s">
        <v>161</v>
      </c>
      <c r="J70" s="121"/>
      <c r="K70" s="121"/>
      <c r="L70" s="121"/>
      <c r="M70" s="55" t="e">
        <f>(L66*600*L68)/L67</f>
        <v>#DIV/0!</v>
      </c>
      <c r="N70" s="49" t="s">
        <v>27</v>
      </c>
    </row>
    <row r="71" spans="2:14" x14ac:dyDescent="0.3">
      <c r="B71" s="109" t="s">
        <v>149</v>
      </c>
      <c r="C71" s="109"/>
      <c r="D71" s="109"/>
      <c r="E71" s="55" t="e">
        <f>E66*E69*E68*20/E67</f>
        <v>#DIV/0!</v>
      </c>
      <c r="F71" s="49" t="s">
        <v>27</v>
      </c>
      <c r="G71" s="49"/>
      <c r="I71" s="49"/>
      <c r="J71" s="49"/>
      <c r="K71" s="49"/>
      <c r="L71" s="49"/>
      <c r="M71" s="49"/>
      <c r="N71" s="49"/>
    </row>
    <row r="75" spans="2:14" ht="21" x14ac:dyDescent="0.3">
      <c r="E75" s="102" t="s">
        <v>151</v>
      </c>
      <c r="F75" s="103"/>
      <c r="G75" s="103"/>
    </row>
    <row r="76" spans="2:14" ht="15" thickBot="1" x14ac:dyDescent="0.35"/>
    <row r="77" spans="2:14" ht="18.600000000000001" thickBot="1" x14ac:dyDescent="0.35">
      <c r="B77" s="98" t="s">
        <v>153</v>
      </c>
      <c r="C77" s="99"/>
      <c r="D77" s="99"/>
      <c r="E77" s="99"/>
      <c r="F77" s="99"/>
      <c r="G77" s="99"/>
      <c r="H77" s="99"/>
      <c r="I77" s="99"/>
      <c r="J77" s="99"/>
      <c r="K77" s="80"/>
    </row>
    <row r="79" spans="2:14" ht="15" thickBot="1" x14ac:dyDescent="0.35"/>
    <row r="80" spans="2:14" ht="18.600000000000001" thickBot="1" x14ac:dyDescent="0.35">
      <c r="B80" s="115" t="s">
        <v>154</v>
      </c>
      <c r="C80" s="115"/>
      <c r="D80" s="115"/>
      <c r="E80" s="115"/>
      <c r="F80" s="116"/>
      <c r="G80" s="95"/>
    </row>
    <row r="82" spans="2:14" ht="18" x14ac:dyDescent="0.3">
      <c r="B82" s="104" t="s">
        <v>24</v>
      </c>
      <c r="C82" s="113"/>
      <c r="D82" s="113"/>
      <c r="E82" s="113"/>
      <c r="F82" s="113"/>
      <c r="G82" s="113"/>
      <c r="I82" s="104" t="s">
        <v>24</v>
      </c>
      <c r="J82" s="113"/>
      <c r="K82" s="113"/>
      <c r="L82" s="113"/>
      <c r="M82" s="113"/>
      <c r="N82" s="113"/>
    </row>
    <row r="83" spans="2:14" x14ac:dyDescent="0.3">
      <c r="B83" s="20"/>
      <c r="C83" s="20"/>
      <c r="D83" s="20"/>
      <c r="E83" s="20"/>
      <c r="F83" s="20"/>
      <c r="G83" s="20"/>
      <c r="I83" s="20"/>
      <c r="J83" s="20"/>
      <c r="K83" s="20"/>
      <c r="L83" s="20"/>
      <c r="M83" s="20"/>
      <c r="N83" s="20"/>
    </row>
    <row r="84" spans="2:14" x14ac:dyDescent="0.3">
      <c r="B84" s="20"/>
      <c r="C84" s="20"/>
      <c r="D84" s="18" t="s">
        <v>36</v>
      </c>
      <c r="E84" s="23"/>
      <c r="F84" s="20" t="s">
        <v>27</v>
      </c>
      <c r="G84" s="20"/>
      <c r="I84" s="20"/>
      <c r="J84" s="20"/>
      <c r="K84" s="18" t="s">
        <v>79</v>
      </c>
      <c r="L84" s="23"/>
      <c r="M84" s="20" t="s">
        <v>84</v>
      </c>
      <c r="N84" s="20"/>
    </row>
    <row r="85" spans="2:14" x14ac:dyDescent="0.3">
      <c r="B85" s="20"/>
      <c r="C85" s="20"/>
      <c r="D85" s="18" t="s">
        <v>50</v>
      </c>
      <c r="E85" s="23"/>
      <c r="F85" s="20" t="s">
        <v>51</v>
      </c>
      <c r="G85" s="20"/>
      <c r="I85" s="20"/>
      <c r="J85" s="20"/>
      <c r="K85" s="18" t="s">
        <v>64</v>
      </c>
      <c r="L85" s="23"/>
      <c r="M85" s="20" t="s">
        <v>67</v>
      </c>
      <c r="N85" s="20"/>
    </row>
    <row r="86" spans="2:14" x14ac:dyDescent="0.3">
      <c r="B86" s="20"/>
      <c r="C86" s="119" t="s">
        <v>155</v>
      </c>
      <c r="D86" s="119"/>
      <c r="E86" s="23"/>
      <c r="F86" s="20"/>
      <c r="G86" s="20"/>
      <c r="I86" s="20"/>
      <c r="J86" s="20"/>
      <c r="K86" s="18" t="s">
        <v>101</v>
      </c>
      <c r="L86" s="20">
        <v>9550</v>
      </c>
      <c r="M86" s="20"/>
      <c r="N86" s="20"/>
    </row>
    <row r="87" spans="2:14" x14ac:dyDescent="0.3">
      <c r="B87" s="20"/>
      <c r="C87" s="20"/>
      <c r="D87" s="20" t="s">
        <v>101</v>
      </c>
      <c r="E87" s="20">
        <v>600</v>
      </c>
      <c r="F87" s="20"/>
      <c r="G87" s="20"/>
      <c r="I87" s="20"/>
      <c r="J87" s="20"/>
      <c r="K87" s="20"/>
      <c r="L87" s="20"/>
      <c r="M87" s="20"/>
      <c r="N87" s="20"/>
    </row>
    <row r="88" spans="2:14" x14ac:dyDescent="0.3">
      <c r="B88" s="120" t="s">
        <v>156</v>
      </c>
      <c r="C88" s="120"/>
      <c r="D88" s="120"/>
      <c r="E88" s="120"/>
      <c r="F88" s="22" t="e">
        <f>(E84*E85)/(600*E86)</f>
        <v>#DIV/0!</v>
      </c>
      <c r="G88" s="20" t="s">
        <v>94</v>
      </c>
      <c r="I88" s="122" t="s">
        <v>157</v>
      </c>
      <c r="J88" s="122"/>
      <c r="K88" s="122"/>
      <c r="L88" s="22">
        <f>(L84*L85)/L86</f>
        <v>0</v>
      </c>
      <c r="M88" s="20" t="s">
        <v>94</v>
      </c>
      <c r="N88" s="20"/>
    </row>
  </sheetData>
  <mergeCells count="53">
    <mergeCell ref="C86:D86"/>
    <mergeCell ref="B88:E88"/>
    <mergeCell ref="B64:G64"/>
    <mergeCell ref="C67:D67"/>
    <mergeCell ref="B69:D69"/>
    <mergeCell ref="B71:D71"/>
    <mergeCell ref="E75:G75"/>
    <mergeCell ref="B77:J77"/>
    <mergeCell ref="I70:L70"/>
    <mergeCell ref="I82:N82"/>
    <mergeCell ref="I88:K88"/>
    <mergeCell ref="J68:K68"/>
    <mergeCell ref="I64:N64"/>
    <mergeCell ref="C57:D57"/>
    <mergeCell ref="B61:D61"/>
    <mergeCell ref="B58:D58"/>
    <mergeCell ref="B80:F80"/>
    <mergeCell ref="B82:G82"/>
    <mergeCell ref="B52:F52"/>
    <mergeCell ref="E47:G47"/>
    <mergeCell ref="B49:J49"/>
    <mergeCell ref="B54:G54"/>
    <mergeCell ref="C56:D56"/>
    <mergeCell ref="I19:N19"/>
    <mergeCell ref="C39:D39"/>
    <mergeCell ref="C40:D40"/>
    <mergeCell ref="C41:D41"/>
    <mergeCell ref="B43:D43"/>
    <mergeCell ref="J21:K21"/>
    <mergeCell ref="J22:K22"/>
    <mergeCell ref="J23:K23"/>
    <mergeCell ref="I25:K25"/>
    <mergeCell ref="I28:N28"/>
    <mergeCell ref="J30:K30"/>
    <mergeCell ref="I33:K33"/>
    <mergeCell ref="J31:K31"/>
    <mergeCell ref="I34:K34"/>
    <mergeCell ref="L6:O7"/>
    <mergeCell ref="B14:J14"/>
    <mergeCell ref="B5:J7"/>
    <mergeCell ref="E12:G12"/>
    <mergeCell ref="B37:G37"/>
    <mergeCell ref="C21:D21"/>
    <mergeCell ref="C22:D22"/>
    <mergeCell ref="C23:D23"/>
    <mergeCell ref="B17:E17"/>
    <mergeCell ref="B25:D25"/>
    <mergeCell ref="B19:G19"/>
    <mergeCell ref="B28:G28"/>
    <mergeCell ref="C30:D30"/>
    <mergeCell ref="C31:D31"/>
    <mergeCell ref="C32:D32"/>
    <mergeCell ref="B34:D3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A772-67FC-4DE7-8F61-7A89AA7C9C4B}">
  <dimension ref="B5:AM119"/>
  <sheetViews>
    <sheetView tabSelected="1" zoomScale="88" workbookViewId="0">
      <selection activeCell="D34" sqref="D34"/>
    </sheetView>
  </sheetViews>
  <sheetFormatPr baseColWidth="10" defaultRowHeight="14.4" x14ac:dyDescent="0.3"/>
  <cols>
    <col min="1" max="1" width="11.5546875" style="2"/>
    <col min="2" max="2" width="14" style="2" customWidth="1"/>
    <col min="3" max="3" width="13.5546875" style="2" customWidth="1"/>
    <col min="4" max="4" width="11.5546875" style="2"/>
    <col min="5" max="5" width="12" style="2" bestFit="1" customWidth="1"/>
    <col min="6" max="7" width="12" style="2" customWidth="1"/>
    <col min="8" max="8" width="12" style="2" bestFit="1" customWidth="1"/>
    <col min="9" max="11" width="11.5546875" style="2"/>
    <col min="12" max="12" width="12" style="2" bestFit="1" customWidth="1"/>
    <col min="13" max="13" width="5.109375" style="2" customWidth="1"/>
    <col min="14" max="14" width="13.109375" style="2" customWidth="1"/>
    <col min="15" max="23" width="11.5546875" style="2"/>
    <col min="24" max="24" width="12.109375" style="2" customWidth="1"/>
    <col min="25" max="27" width="11.5546875" style="2"/>
    <col min="28" max="28" width="13.5546875" style="2" customWidth="1"/>
    <col min="29" max="16384" width="11.5546875" style="2"/>
  </cols>
  <sheetData>
    <row r="5" spans="2:39" ht="14.4" customHeight="1" x14ac:dyDescent="0.3">
      <c r="B5" s="101" t="s">
        <v>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"/>
      <c r="N5" s="1"/>
      <c r="O5" s="1"/>
      <c r="P5" s="1"/>
    </row>
    <row r="6" spans="2:39" ht="14.4" customHeight="1" x14ac:dyDescent="0.3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"/>
      <c r="N6" s="1"/>
      <c r="O6" s="1"/>
      <c r="P6" s="1"/>
    </row>
    <row r="7" spans="2:39" ht="14.4" customHeight="1" x14ac:dyDescent="0.3"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"/>
      <c r="N7" s="1"/>
      <c r="O7" s="1"/>
      <c r="P7" s="1"/>
    </row>
    <row r="10" spans="2:39" x14ac:dyDescent="0.3">
      <c r="G10" s="3"/>
    </row>
    <row r="12" spans="2:39" s="5" customFormat="1" ht="21" x14ac:dyDescent="0.3">
      <c r="B12" s="103" t="s">
        <v>1</v>
      </c>
      <c r="C12" s="104"/>
      <c r="D12" s="104"/>
      <c r="E12" s="104"/>
      <c r="F12" s="104"/>
      <c r="G12" s="4"/>
      <c r="H12" s="103" t="s">
        <v>2</v>
      </c>
      <c r="I12" s="103"/>
      <c r="J12" s="103"/>
      <c r="K12" s="103"/>
      <c r="L12" s="103"/>
      <c r="M12" s="103"/>
      <c r="N12" s="103"/>
      <c r="O12" s="103"/>
      <c r="P12" s="103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2:39" ht="21" x14ac:dyDescent="0.4">
      <c r="G13" s="6"/>
      <c r="H13" s="7"/>
      <c r="I13" s="7"/>
      <c r="L13" s="6"/>
      <c r="M13" s="6"/>
      <c r="T13"/>
      <c r="U13"/>
      <c r="V13"/>
      <c r="W13"/>
      <c r="X13" s="136" t="s">
        <v>170</v>
      </c>
      <c r="Y13" s="136"/>
      <c r="Z13" s="136"/>
      <c r="AA13" s="136"/>
      <c r="AB13"/>
      <c r="AC13"/>
      <c r="AD13"/>
      <c r="AE13"/>
      <c r="AF13"/>
      <c r="AG13"/>
      <c r="AH13"/>
      <c r="AI13"/>
      <c r="AJ13"/>
      <c r="AK13"/>
      <c r="AL13"/>
      <c r="AM13"/>
    </row>
    <row r="14" spans="2:39" x14ac:dyDescent="0.3">
      <c r="B14" s="8"/>
      <c r="C14" s="8"/>
      <c r="D14" s="8"/>
      <c r="E14" s="9"/>
      <c r="F14" s="9"/>
      <c r="H14" s="8"/>
      <c r="I14" s="8"/>
      <c r="J14" s="8"/>
      <c r="K14" s="8"/>
      <c r="L14" s="8"/>
      <c r="M14" s="8"/>
      <c r="N14" s="8"/>
      <c r="O14" s="8"/>
      <c r="P14" s="8"/>
      <c r="T14"/>
      <c r="U14"/>
      <c r="V14"/>
      <c r="W14"/>
      <c r="X14" s="92" t="s">
        <v>171</v>
      </c>
      <c r="Y14" s="89"/>
      <c r="Z14" s="90">
        <f>SQRT(Y16/PI())</f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2:39" x14ac:dyDescent="0.3">
      <c r="B15" s="8"/>
      <c r="C15" s="8" t="s">
        <v>3</v>
      </c>
      <c r="D15" s="10"/>
      <c r="E15" s="8" t="s">
        <v>4</v>
      </c>
      <c r="F15" s="8"/>
      <c r="H15" s="8"/>
      <c r="I15" s="141" t="s">
        <v>5</v>
      </c>
      <c r="J15" s="141"/>
      <c r="K15" s="81"/>
      <c r="L15" s="10"/>
      <c r="M15" s="12" t="s">
        <v>6</v>
      </c>
      <c r="N15" s="8" t="s">
        <v>7</v>
      </c>
      <c r="O15" s="8">
        <f>PI()*L15^2/4</f>
        <v>0</v>
      </c>
      <c r="P15" s="8" t="s">
        <v>8</v>
      </c>
      <c r="T15"/>
      <c r="U15"/>
      <c r="V15"/>
      <c r="W15"/>
      <c r="X15" s="86" t="s">
        <v>172</v>
      </c>
      <c r="Y15" s="84"/>
      <c r="Z15" s="85">
        <f>SQRT((4*Y16)/PI())</f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2:39" x14ac:dyDescent="0.3">
      <c r="B16" s="8"/>
      <c r="C16" s="8" t="s">
        <v>9</v>
      </c>
      <c r="D16" s="10"/>
      <c r="E16" s="8" t="s">
        <v>4</v>
      </c>
      <c r="F16" s="8"/>
      <c r="H16" s="8"/>
      <c r="I16" s="141" t="s">
        <v>10</v>
      </c>
      <c r="J16" s="141"/>
      <c r="K16" s="81"/>
      <c r="L16" s="10"/>
      <c r="M16" s="12" t="s">
        <v>6</v>
      </c>
      <c r="N16" s="8" t="s">
        <v>11</v>
      </c>
      <c r="O16" s="8">
        <f>PI()*L16^2/4</f>
        <v>0</v>
      </c>
      <c r="P16" s="8" t="s">
        <v>8</v>
      </c>
      <c r="T16"/>
      <c r="U16"/>
      <c r="V16"/>
      <c r="W16"/>
      <c r="X16" s="86" t="s">
        <v>37</v>
      </c>
      <c r="Y16" s="84"/>
      <c r="Z16" s="85">
        <f>PI()*Y14^2</f>
        <v>0</v>
      </c>
      <c r="AA16" s="85">
        <f>(PI()*Y15^2)/4</f>
        <v>0</v>
      </c>
      <c r="AB16"/>
      <c r="AC16"/>
      <c r="AD16"/>
      <c r="AE16"/>
      <c r="AF16"/>
      <c r="AG16"/>
      <c r="AH16"/>
      <c r="AI16"/>
      <c r="AJ16"/>
      <c r="AK16"/>
      <c r="AL16"/>
      <c r="AM16"/>
    </row>
    <row r="17" spans="2:39" x14ac:dyDescent="0.3">
      <c r="B17" s="8"/>
      <c r="C17" s="8"/>
      <c r="D17" s="8"/>
      <c r="E17" s="8"/>
      <c r="F17" s="8"/>
      <c r="H17" s="8"/>
      <c r="I17" s="141" t="s">
        <v>12</v>
      </c>
      <c r="J17" s="141"/>
      <c r="K17" s="81"/>
      <c r="L17" s="8">
        <f>L15+L16/2</f>
        <v>0</v>
      </c>
      <c r="M17" s="8"/>
      <c r="N17" s="8"/>
      <c r="O17" s="8"/>
      <c r="P17" s="8"/>
      <c r="T17"/>
      <c r="U17"/>
      <c r="V17"/>
      <c r="W17"/>
      <c r="X17" s="86" t="s">
        <v>173</v>
      </c>
      <c r="Y17" s="84"/>
      <c r="Z17" s="87">
        <f>PI()*Y15</f>
        <v>0</v>
      </c>
      <c r="AA17" s="85">
        <f>2*Y14*PI()</f>
        <v>0</v>
      </c>
      <c r="AB17"/>
      <c r="AC17"/>
      <c r="AD17"/>
      <c r="AE17"/>
      <c r="AF17"/>
      <c r="AG17"/>
      <c r="AH17"/>
      <c r="AI17"/>
      <c r="AJ17"/>
      <c r="AK17"/>
      <c r="AL17"/>
      <c r="AM17"/>
    </row>
    <row r="18" spans="2:39" x14ac:dyDescent="0.3">
      <c r="B18" s="13" t="s">
        <v>13</v>
      </c>
      <c r="C18" s="11">
        <f>PI()</f>
        <v>3.1415926535897931</v>
      </c>
      <c r="D18" s="8"/>
      <c r="E18" s="8"/>
      <c r="F18" s="8"/>
      <c r="H18" s="8"/>
      <c r="I18" s="81"/>
      <c r="J18" s="81"/>
      <c r="K18" s="81"/>
      <c r="L18" s="8"/>
      <c r="M18" s="8"/>
      <c r="N18" s="8"/>
      <c r="O18" s="8"/>
      <c r="P18" s="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2:39" x14ac:dyDescent="0.3">
      <c r="B19" s="135" t="s">
        <v>14</v>
      </c>
      <c r="C19" s="135"/>
      <c r="D19" s="135"/>
      <c r="E19" s="14">
        <f>C18*(D16^2)</f>
        <v>0</v>
      </c>
      <c r="F19" s="14">
        <f>D15^2*C18/4</f>
        <v>0</v>
      </c>
      <c r="H19" s="135" t="s">
        <v>15</v>
      </c>
      <c r="I19" s="135"/>
      <c r="J19" s="135"/>
      <c r="K19" s="135"/>
      <c r="L19" s="14">
        <f>(PI()*L15^2/4)-(PI()*L16^2/4)</f>
        <v>0</v>
      </c>
      <c r="M19" s="15" t="s">
        <v>8</v>
      </c>
      <c r="N19" s="16"/>
      <c r="O19" s="16"/>
      <c r="P19" s="16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2:39" s="5" customFormat="1" x14ac:dyDescent="0.3"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2:39" s="5" customFormat="1" x14ac:dyDescent="0.3"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2:39" s="5" customFormat="1" ht="21" x14ac:dyDescent="0.3">
      <c r="B22" s="104" t="s">
        <v>16</v>
      </c>
      <c r="C22" s="103"/>
      <c r="D22" s="103"/>
      <c r="E22" s="103"/>
      <c r="F22" s="103"/>
      <c r="H22" s="103" t="s">
        <v>17</v>
      </c>
      <c r="I22" s="103"/>
      <c r="J22" s="103"/>
      <c r="K22" s="103"/>
      <c r="L22" s="103"/>
      <c r="M22" s="103"/>
      <c r="N22" s="17"/>
      <c r="O22" s="103" t="s">
        <v>17</v>
      </c>
      <c r="P22" s="103"/>
      <c r="Q22" s="103"/>
      <c r="R22" s="103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2:39" x14ac:dyDescent="0.3"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2:39" x14ac:dyDescent="0.3">
      <c r="B24" s="119" t="s">
        <v>18</v>
      </c>
      <c r="C24" s="119"/>
      <c r="D24" s="19">
        <v>1</v>
      </c>
      <c r="E24" s="20" t="s">
        <v>19</v>
      </c>
      <c r="F24" s="20"/>
      <c r="O24" s="20"/>
      <c r="P24" s="20"/>
      <c r="Q24" s="20"/>
      <c r="R24" s="20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2:39" ht="14.4" customHeight="1" x14ac:dyDescent="0.4">
      <c r="B25" s="20"/>
      <c r="C25" s="20" t="s">
        <v>20</v>
      </c>
      <c r="D25" s="21">
        <f>E19+L19+F19</f>
        <v>0</v>
      </c>
      <c r="E25" s="20" t="s">
        <v>8</v>
      </c>
      <c r="F25" s="20"/>
      <c r="H25" s="142" t="s">
        <v>21</v>
      </c>
      <c r="I25" s="142"/>
      <c r="J25" s="22">
        <f>D26*L19*D24</f>
        <v>0</v>
      </c>
      <c r="K25" s="20" t="s">
        <v>22</v>
      </c>
      <c r="L25" s="20" t="s">
        <v>23</v>
      </c>
      <c r="M25" s="20"/>
      <c r="O25" s="20"/>
      <c r="P25" s="20" t="s">
        <v>24</v>
      </c>
      <c r="Q25" s="19"/>
      <c r="R25" s="20" t="s">
        <v>25</v>
      </c>
      <c r="T25"/>
      <c r="U25"/>
      <c r="V25"/>
      <c r="W25"/>
      <c r="X25" s="136" t="s">
        <v>174</v>
      </c>
      <c r="Y25" s="136"/>
      <c r="Z25" s="136"/>
      <c r="AA25" s="136"/>
      <c r="AB25" s="136"/>
      <c r="AC25" s="136"/>
      <c r="AD25"/>
      <c r="AE25"/>
      <c r="AF25"/>
      <c r="AG25"/>
      <c r="AH25"/>
      <c r="AI25"/>
      <c r="AJ25"/>
      <c r="AK25"/>
      <c r="AL25"/>
      <c r="AM25"/>
    </row>
    <row r="26" spans="2:39" x14ac:dyDescent="0.3">
      <c r="B26" s="20"/>
      <c r="C26" s="20" t="s">
        <v>26</v>
      </c>
      <c r="D26" s="23"/>
      <c r="E26" s="20" t="s">
        <v>27</v>
      </c>
      <c r="F26" s="20"/>
      <c r="H26" s="142" t="s">
        <v>28</v>
      </c>
      <c r="I26" s="142"/>
      <c r="J26" s="22">
        <f>D26*O15*D24</f>
        <v>0</v>
      </c>
      <c r="K26" s="20" t="s">
        <v>22</v>
      </c>
      <c r="L26" s="20" t="s">
        <v>29</v>
      </c>
      <c r="M26" s="20"/>
      <c r="O26" s="20"/>
      <c r="P26" s="20" t="s">
        <v>30</v>
      </c>
      <c r="Q26" s="19"/>
      <c r="R26" s="20" t="s">
        <v>31</v>
      </c>
      <c r="T26"/>
      <c r="U26"/>
      <c r="V26"/>
      <c r="W26"/>
      <c r="X26" s="137" t="s">
        <v>175</v>
      </c>
      <c r="Y26" s="137"/>
      <c r="Z26" s="84"/>
      <c r="AA26" s="85">
        <f>(PI()*Z28^2/4)-(PI()*Z30^2/4)</f>
        <v>0</v>
      </c>
      <c r="AB26" s="85">
        <f>PI()/4*(Z28^2-Z30^2)</f>
        <v>0</v>
      </c>
      <c r="AC26" s="85">
        <f>PI()*Z31+Z27</f>
        <v>0</v>
      </c>
      <c r="AD26"/>
      <c r="AE26"/>
      <c r="AF26"/>
      <c r="AG26"/>
      <c r="AH26"/>
      <c r="AI26"/>
      <c r="AJ26"/>
      <c r="AK26"/>
      <c r="AL26"/>
      <c r="AM26"/>
    </row>
    <row r="27" spans="2:39" x14ac:dyDescent="0.3">
      <c r="B27" s="20"/>
      <c r="C27" s="20"/>
      <c r="D27" s="20"/>
      <c r="E27" s="20"/>
      <c r="F27" s="20"/>
      <c r="H27" s="20" t="s">
        <v>32</v>
      </c>
      <c r="I27" s="20"/>
      <c r="J27" s="22">
        <f>J26-J25</f>
        <v>0</v>
      </c>
      <c r="K27" s="20" t="s">
        <v>22</v>
      </c>
      <c r="L27" s="20" t="s">
        <v>182</v>
      </c>
      <c r="M27" s="20"/>
      <c r="O27" s="20"/>
      <c r="P27" s="20"/>
      <c r="Q27" s="20"/>
      <c r="R27" s="20"/>
      <c r="T27"/>
      <c r="U27"/>
      <c r="V27"/>
      <c r="W27"/>
      <c r="X27" s="138" t="s">
        <v>176</v>
      </c>
      <c r="Y27" s="138"/>
      <c r="Z27" s="89"/>
      <c r="AA27" s="90"/>
      <c r="AB27"/>
      <c r="AC27"/>
      <c r="AD27"/>
      <c r="AE27"/>
      <c r="AF27"/>
      <c r="AG27"/>
      <c r="AH27"/>
      <c r="AI27"/>
      <c r="AJ27"/>
      <c r="AK27"/>
      <c r="AL27"/>
      <c r="AM27"/>
    </row>
    <row r="28" spans="2:39" x14ac:dyDescent="0.3">
      <c r="B28" s="126" t="s">
        <v>33</v>
      </c>
      <c r="C28" s="126"/>
      <c r="D28" s="24">
        <f>D26*D25*D24</f>
        <v>0</v>
      </c>
      <c r="E28" s="20" t="s">
        <v>22</v>
      </c>
      <c r="F28" s="20"/>
      <c r="H28" s="20"/>
      <c r="I28" s="20"/>
      <c r="J28" s="20"/>
      <c r="K28" s="20"/>
      <c r="L28" s="20"/>
      <c r="M28" s="20"/>
      <c r="O28" s="120" t="s">
        <v>34</v>
      </c>
      <c r="P28" s="120"/>
      <c r="Q28" s="25" t="e">
        <f>Q25/Q26</f>
        <v>#DIV/0!</v>
      </c>
      <c r="R28" s="20" t="s">
        <v>35</v>
      </c>
      <c r="T28"/>
      <c r="U28"/>
      <c r="V28"/>
      <c r="W28"/>
      <c r="X28" s="137" t="s">
        <v>177</v>
      </c>
      <c r="Y28" s="137"/>
      <c r="Z28" s="84"/>
      <c r="AA28" s="85">
        <f>SQRT(Z30^2+4*Z26/PI())</f>
        <v>0</v>
      </c>
      <c r="AB28"/>
      <c r="AC28"/>
      <c r="AD28"/>
      <c r="AE28"/>
      <c r="AF28"/>
      <c r="AG28"/>
      <c r="AH28"/>
      <c r="AI28"/>
      <c r="AJ28"/>
      <c r="AK28"/>
      <c r="AL28"/>
      <c r="AM28"/>
    </row>
    <row r="29" spans="2:39" x14ac:dyDescent="0.3">
      <c r="B29" s="83"/>
      <c r="C29" s="83"/>
      <c r="D29" s="93">
        <f>D28*10</f>
        <v>0</v>
      </c>
      <c r="E29" s="20" t="s">
        <v>35</v>
      </c>
      <c r="F29" s="20"/>
      <c r="H29" s="20"/>
      <c r="I29" s="20"/>
      <c r="J29" s="20"/>
      <c r="K29" s="20"/>
      <c r="L29" s="20"/>
      <c r="M29" s="20"/>
      <c r="O29" s="82"/>
      <c r="P29" s="82"/>
      <c r="Q29" s="20"/>
      <c r="R29" s="20"/>
      <c r="T29"/>
      <c r="U29"/>
      <c r="V29"/>
      <c r="W29"/>
      <c r="X29" s="88"/>
      <c r="Y29" s="88"/>
      <c r="Z29" s="84"/>
      <c r="AA29" s="85"/>
      <c r="AB29"/>
      <c r="AC29"/>
      <c r="AD29"/>
      <c r="AE29"/>
      <c r="AF29"/>
      <c r="AG29"/>
      <c r="AH29"/>
      <c r="AI29"/>
      <c r="AJ29"/>
      <c r="AK29"/>
      <c r="AL29"/>
      <c r="AM29"/>
    </row>
    <row r="30" spans="2:39" x14ac:dyDescent="0.3">
      <c r="T30"/>
      <c r="U30"/>
      <c r="V30"/>
      <c r="W30"/>
      <c r="X30" s="137" t="s">
        <v>178</v>
      </c>
      <c r="Y30" s="137"/>
      <c r="Z30" s="84"/>
      <c r="AA30" s="85">
        <f>SQRT(Z28^2-(4*Z26/PI()))</f>
        <v>0</v>
      </c>
      <c r="AB30"/>
      <c r="AC30"/>
      <c r="AD30"/>
      <c r="AE30"/>
      <c r="AF30"/>
      <c r="AG30"/>
      <c r="AH30"/>
      <c r="AI30"/>
      <c r="AJ30"/>
      <c r="AK30"/>
      <c r="AL30"/>
      <c r="AM30"/>
    </row>
    <row r="31" spans="2:39" ht="18" x14ac:dyDescent="0.3">
      <c r="B31" s="104" t="s">
        <v>36</v>
      </c>
      <c r="C31" s="104"/>
      <c r="D31" s="104"/>
      <c r="E31" s="104"/>
      <c r="F31" s="104"/>
      <c r="G31" s="6"/>
      <c r="H31" s="104" t="s">
        <v>37</v>
      </c>
      <c r="I31" s="113"/>
      <c r="J31" s="113"/>
      <c r="K31" s="113"/>
      <c r="L31" s="113"/>
      <c r="M31" s="113"/>
      <c r="T31"/>
      <c r="U31"/>
      <c r="V31"/>
      <c r="W31"/>
      <c r="X31" s="139" t="s">
        <v>179</v>
      </c>
      <c r="Y31" s="140"/>
      <c r="Z31" s="89"/>
      <c r="AA31" s="87">
        <f>Z28+Z30/2</f>
        <v>0</v>
      </c>
      <c r="AB31"/>
      <c r="AC31"/>
      <c r="AD31"/>
      <c r="AE31"/>
      <c r="AF31"/>
      <c r="AG31"/>
      <c r="AH31"/>
      <c r="AI31"/>
      <c r="AJ31"/>
      <c r="AK31"/>
      <c r="AL31"/>
      <c r="AM31"/>
    </row>
    <row r="32" spans="2:39" x14ac:dyDescent="0.3"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2:39" x14ac:dyDescent="0.3">
      <c r="B33" s="26"/>
      <c r="C33" s="26" t="s">
        <v>38</v>
      </c>
      <c r="D33" s="27"/>
      <c r="E33" s="26" t="s">
        <v>22</v>
      </c>
      <c r="F33" s="26"/>
      <c r="H33" s="28"/>
      <c r="I33" s="28" t="s">
        <v>39</v>
      </c>
      <c r="J33" s="27"/>
      <c r="K33" s="28" t="s">
        <v>22</v>
      </c>
      <c r="L33" s="28"/>
      <c r="M33" s="28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2:39" x14ac:dyDescent="0.3">
      <c r="B34" s="26"/>
      <c r="C34" s="26" t="s">
        <v>20</v>
      </c>
      <c r="D34" s="94"/>
      <c r="E34" s="26" t="s">
        <v>8</v>
      </c>
      <c r="F34" s="26"/>
      <c r="H34" s="28"/>
      <c r="I34" s="28" t="s">
        <v>40</v>
      </c>
      <c r="J34" s="27"/>
      <c r="K34" s="28" t="s">
        <v>27</v>
      </c>
      <c r="L34" s="28"/>
      <c r="M34" s="28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2:39" x14ac:dyDescent="0.3">
      <c r="B35" s="26"/>
      <c r="C35" s="26"/>
      <c r="D35" s="26"/>
      <c r="E35" s="26"/>
      <c r="F35" s="26"/>
      <c r="H35" s="28"/>
      <c r="I35" s="28"/>
      <c r="J35" s="28"/>
      <c r="K35" s="28"/>
      <c r="L35" s="28"/>
      <c r="M35" s="28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2:39" x14ac:dyDescent="0.3">
      <c r="B36" s="128" t="s">
        <v>41</v>
      </c>
      <c r="C36" s="128"/>
      <c r="D36" s="29" t="e">
        <f>D33/D34</f>
        <v>#DIV/0!</v>
      </c>
      <c r="E36" s="30" t="s">
        <v>27</v>
      </c>
      <c r="F36" s="26"/>
      <c r="H36" s="124" t="s">
        <v>42</v>
      </c>
      <c r="I36" s="124"/>
      <c r="J36" s="29" t="e">
        <f>J33/J34</f>
        <v>#DIV/0!</v>
      </c>
      <c r="K36" s="31" t="s">
        <v>8</v>
      </c>
      <c r="L36" s="28"/>
      <c r="M36" s="28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2:39" x14ac:dyDescent="0.3"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2:39" x14ac:dyDescent="0.3"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2:39" ht="18" x14ac:dyDescent="0.3">
      <c r="B39" s="104" t="s">
        <v>43</v>
      </c>
      <c r="C39" s="113"/>
      <c r="D39" s="113"/>
      <c r="E39" s="113"/>
      <c r="F39" s="113"/>
      <c r="H39" s="104" t="s">
        <v>44</v>
      </c>
      <c r="I39" s="104"/>
      <c r="J39" s="104"/>
      <c r="K39" s="104"/>
      <c r="L39" s="104"/>
      <c r="M39" s="104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2:39" x14ac:dyDescent="0.3">
      <c r="AD40" s="91"/>
      <c r="AE40" s="91"/>
      <c r="AF40" s="91"/>
      <c r="AG40" s="91"/>
      <c r="AH40" s="91"/>
      <c r="AI40" s="72"/>
      <c r="AJ40" s="91"/>
      <c r="AK40" s="91"/>
      <c r="AL40" s="91"/>
    </row>
    <row r="41" spans="2:39" x14ac:dyDescent="0.3">
      <c r="B41" s="32"/>
      <c r="C41" s="32" t="s">
        <v>39</v>
      </c>
      <c r="D41" s="33"/>
      <c r="E41" s="32" t="s">
        <v>22</v>
      </c>
      <c r="F41" s="32"/>
      <c r="H41" s="32"/>
      <c r="I41" s="32" t="s">
        <v>37</v>
      </c>
      <c r="J41" s="33"/>
      <c r="K41" s="32" t="s">
        <v>8</v>
      </c>
      <c r="L41" s="32"/>
      <c r="M41" s="32"/>
      <c r="AD41" s="91"/>
      <c r="AE41" s="91"/>
      <c r="AF41" s="91"/>
      <c r="AG41" s="91"/>
      <c r="AH41" s="91"/>
      <c r="AI41" s="91"/>
      <c r="AJ41" s="91"/>
      <c r="AK41" s="91"/>
      <c r="AL41" s="91"/>
    </row>
    <row r="42" spans="2:39" x14ac:dyDescent="0.3">
      <c r="B42" s="32"/>
      <c r="C42" s="32" t="s">
        <v>36</v>
      </c>
      <c r="D42" s="33"/>
      <c r="E42" s="32" t="s">
        <v>27</v>
      </c>
      <c r="F42" s="32"/>
      <c r="H42" s="32"/>
      <c r="I42" s="32" t="s">
        <v>45</v>
      </c>
      <c r="J42" s="33"/>
      <c r="K42" s="32" t="s">
        <v>46</v>
      </c>
      <c r="L42" s="32"/>
      <c r="M42" s="32"/>
    </row>
    <row r="43" spans="2:39" x14ac:dyDescent="0.3">
      <c r="B43" s="32"/>
      <c r="C43" s="32"/>
      <c r="D43" s="32"/>
      <c r="E43" s="32"/>
      <c r="F43" s="32"/>
      <c r="H43" s="32"/>
      <c r="I43" s="32"/>
      <c r="J43" s="32"/>
      <c r="K43" s="32"/>
      <c r="L43" s="32"/>
      <c r="M43" s="32"/>
    </row>
    <row r="44" spans="2:39" x14ac:dyDescent="0.3">
      <c r="B44" s="129" t="s">
        <v>47</v>
      </c>
      <c r="C44" s="130"/>
      <c r="D44" s="35" t="e">
        <f>SQRT((100*D41)/(D42*(C18/4)))/10</f>
        <v>#DIV/0!</v>
      </c>
      <c r="E44" s="32" t="s">
        <v>46</v>
      </c>
      <c r="F44" s="32"/>
      <c r="H44" s="131" t="s">
        <v>48</v>
      </c>
      <c r="I44" s="132"/>
      <c r="J44" s="35">
        <f>(J41*J42)/10000</f>
        <v>0</v>
      </c>
      <c r="K44" s="32" t="s">
        <v>49</v>
      </c>
      <c r="L44" s="32"/>
      <c r="M44" s="32"/>
    </row>
    <row r="45" spans="2:39" x14ac:dyDescent="0.3">
      <c r="B45" s="133"/>
      <c r="C45" s="133"/>
      <c r="D45" s="133"/>
      <c r="E45" s="6"/>
    </row>
    <row r="46" spans="2:39" x14ac:dyDescent="0.3">
      <c r="B46" s="134"/>
      <c r="C46" s="134"/>
      <c r="D46" s="134"/>
    </row>
    <row r="47" spans="2:39" ht="18" x14ac:dyDescent="0.3">
      <c r="B47" s="104" t="s">
        <v>30</v>
      </c>
      <c r="C47" s="113"/>
      <c r="D47" s="113"/>
      <c r="E47" s="113"/>
      <c r="F47" s="113"/>
      <c r="H47" s="104" t="s">
        <v>30</v>
      </c>
      <c r="I47" s="113"/>
      <c r="J47" s="113"/>
      <c r="K47" s="113"/>
      <c r="L47" s="113"/>
      <c r="M47" s="113"/>
      <c r="O47" s="104" t="s">
        <v>30</v>
      </c>
      <c r="P47" s="104"/>
      <c r="Q47" s="104"/>
      <c r="R47" s="104"/>
    </row>
    <row r="48" spans="2:39" x14ac:dyDescent="0.3">
      <c r="B48" s="36"/>
      <c r="C48" s="36"/>
      <c r="D48" s="36"/>
      <c r="E48" s="36"/>
      <c r="F48" s="36"/>
      <c r="H48" s="36"/>
      <c r="I48" s="36"/>
      <c r="J48" s="36"/>
      <c r="K48" s="36"/>
      <c r="L48" s="36"/>
      <c r="M48" s="36"/>
      <c r="O48" s="36"/>
      <c r="P48" s="36"/>
      <c r="Q48" s="36"/>
      <c r="R48" s="36"/>
    </row>
    <row r="49" spans="2:18" x14ac:dyDescent="0.3">
      <c r="B49" s="36"/>
      <c r="C49" s="36" t="s">
        <v>45</v>
      </c>
      <c r="D49" s="37"/>
      <c r="E49" s="36" t="s">
        <v>46</v>
      </c>
      <c r="F49" s="36"/>
      <c r="H49" s="36"/>
      <c r="I49" s="36" t="s">
        <v>50</v>
      </c>
      <c r="J49" s="37"/>
      <c r="K49" s="36" t="s">
        <v>51</v>
      </c>
      <c r="L49" s="36"/>
      <c r="M49" s="36"/>
      <c r="O49" s="36"/>
      <c r="P49" s="36" t="s">
        <v>24</v>
      </c>
      <c r="Q49" s="37"/>
      <c r="R49" s="36" t="s">
        <v>25</v>
      </c>
    </row>
    <row r="50" spans="2:18" x14ac:dyDescent="0.3">
      <c r="B50" s="36"/>
      <c r="C50" s="36" t="s">
        <v>52</v>
      </c>
      <c r="D50" s="37"/>
      <c r="E50" s="36" t="s">
        <v>53</v>
      </c>
      <c r="F50" s="36"/>
      <c r="H50" s="36"/>
      <c r="I50" s="36" t="s">
        <v>37</v>
      </c>
      <c r="J50" s="37"/>
      <c r="K50" s="36" t="s">
        <v>8</v>
      </c>
      <c r="L50" s="36"/>
      <c r="M50" s="36"/>
      <c r="O50" s="36"/>
      <c r="P50" s="36" t="s">
        <v>17</v>
      </c>
      <c r="Q50" s="37"/>
      <c r="R50" s="36" t="s">
        <v>35</v>
      </c>
    </row>
    <row r="51" spans="2:18" x14ac:dyDescent="0.3">
      <c r="B51" s="36"/>
      <c r="C51" s="36"/>
      <c r="D51" s="36"/>
      <c r="E51" s="36"/>
      <c r="F51" s="36"/>
      <c r="H51" s="36"/>
      <c r="I51" s="36"/>
      <c r="J51" s="36"/>
      <c r="K51" s="36"/>
      <c r="L51" s="36"/>
      <c r="M51" s="36"/>
      <c r="O51" s="36"/>
      <c r="P51" s="36"/>
      <c r="Q51" s="36"/>
      <c r="R51" s="36"/>
    </row>
    <row r="52" spans="2:18" x14ac:dyDescent="0.3">
      <c r="B52" s="127" t="s">
        <v>54</v>
      </c>
      <c r="C52" s="127"/>
      <c r="D52" s="38" t="e">
        <f>D49/(D50*1000)</f>
        <v>#DIV/0!</v>
      </c>
      <c r="E52" s="36" t="s">
        <v>31</v>
      </c>
      <c r="F52" s="36"/>
      <c r="H52" s="36" t="s">
        <v>55</v>
      </c>
      <c r="I52" s="36"/>
      <c r="J52" s="38" t="e">
        <f>J49/(J50*6)</f>
        <v>#DIV/0!</v>
      </c>
      <c r="K52" s="36" t="s">
        <v>31</v>
      </c>
      <c r="L52" s="36"/>
      <c r="M52" s="36"/>
      <c r="O52" s="127" t="s">
        <v>56</v>
      </c>
      <c r="P52" s="127"/>
      <c r="Q52" s="38" t="e">
        <f>Q49/Q50</f>
        <v>#DIV/0!</v>
      </c>
      <c r="R52" s="36" t="s">
        <v>31</v>
      </c>
    </row>
    <row r="55" spans="2:18" ht="18" x14ac:dyDescent="0.3">
      <c r="B55" s="104" t="s">
        <v>50</v>
      </c>
      <c r="C55" s="104"/>
      <c r="D55" s="104"/>
      <c r="E55" s="104"/>
      <c r="F55" s="104"/>
      <c r="H55" s="104" t="s">
        <v>50</v>
      </c>
      <c r="I55" s="104"/>
      <c r="J55" s="104"/>
      <c r="K55" s="104"/>
      <c r="L55" s="104"/>
      <c r="M55" s="104"/>
    </row>
    <row r="56" spans="2:18" x14ac:dyDescent="0.3">
      <c r="B56" s="39"/>
      <c r="C56" s="39"/>
      <c r="D56" s="39"/>
      <c r="E56" s="39"/>
      <c r="F56" s="39"/>
      <c r="H56" s="39"/>
      <c r="I56" s="39"/>
      <c r="J56" s="39"/>
      <c r="K56" s="39"/>
      <c r="L56" s="39"/>
      <c r="M56" s="39"/>
    </row>
    <row r="57" spans="2:18" x14ac:dyDescent="0.3">
      <c r="B57" s="39"/>
      <c r="C57" s="39" t="s">
        <v>37</v>
      </c>
      <c r="D57" s="40"/>
      <c r="E57" s="39" t="s">
        <v>8</v>
      </c>
      <c r="F57" s="39"/>
      <c r="H57" s="39"/>
      <c r="I57" s="39" t="s">
        <v>30</v>
      </c>
      <c r="J57" s="40"/>
      <c r="K57" s="39" t="s">
        <v>31</v>
      </c>
      <c r="L57" s="39"/>
      <c r="M57" s="39"/>
    </row>
    <row r="58" spans="2:18" x14ac:dyDescent="0.3">
      <c r="B58" s="39"/>
      <c r="C58" s="39" t="s">
        <v>30</v>
      </c>
      <c r="D58" s="40"/>
      <c r="E58" s="39" t="s">
        <v>31</v>
      </c>
      <c r="F58" s="39"/>
      <c r="H58" s="39"/>
      <c r="I58" s="39" t="s">
        <v>52</v>
      </c>
      <c r="J58" s="40"/>
      <c r="K58" s="39" t="s">
        <v>57</v>
      </c>
      <c r="L58" s="39"/>
      <c r="M58" s="39"/>
    </row>
    <row r="59" spans="2:18" x14ac:dyDescent="0.3">
      <c r="B59" s="39"/>
      <c r="C59" s="39"/>
      <c r="D59" s="39"/>
      <c r="E59" s="39"/>
      <c r="F59" s="39"/>
      <c r="H59" s="39"/>
      <c r="I59" s="39"/>
      <c r="J59" s="39"/>
      <c r="K59" s="39"/>
      <c r="L59" s="39"/>
      <c r="M59" s="39"/>
    </row>
    <row r="60" spans="2:18" x14ac:dyDescent="0.3">
      <c r="B60" s="125" t="s">
        <v>58</v>
      </c>
      <c r="C60" s="125"/>
      <c r="D60" s="41">
        <f>D57*D58*6</f>
        <v>0</v>
      </c>
      <c r="E60" s="39" t="s">
        <v>51</v>
      </c>
      <c r="F60" s="39"/>
      <c r="H60" s="125" t="s">
        <v>59</v>
      </c>
      <c r="I60" s="125"/>
      <c r="J60" s="41" t="e">
        <f>(J57*60)/J58</f>
        <v>#DIV/0!</v>
      </c>
      <c r="K60" s="39" t="s">
        <v>51</v>
      </c>
      <c r="L60" s="39"/>
      <c r="M60" s="39"/>
    </row>
    <row r="63" spans="2:18" ht="18" x14ac:dyDescent="0.3">
      <c r="B63" s="104" t="s">
        <v>60</v>
      </c>
      <c r="C63" s="104"/>
      <c r="D63" s="104"/>
      <c r="E63" s="104"/>
      <c r="F63" s="104"/>
      <c r="H63" s="104" t="s">
        <v>24</v>
      </c>
      <c r="I63" s="113"/>
      <c r="J63" s="113"/>
      <c r="K63" s="113"/>
      <c r="L63" s="113"/>
      <c r="M63" s="113"/>
    </row>
    <row r="64" spans="2:18" x14ac:dyDescent="0.3">
      <c r="B64" s="28"/>
      <c r="C64" s="28"/>
      <c r="D64" s="28"/>
      <c r="E64" s="28"/>
      <c r="F64" s="28"/>
      <c r="H64" s="28"/>
      <c r="I64" s="28"/>
      <c r="J64" s="28"/>
      <c r="K64" s="28"/>
      <c r="L64" s="28"/>
      <c r="M64" s="28"/>
    </row>
    <row r="65" spans="2:13" x14ac:dyDescent="0.3">
      <c r="B65" s="28"/>
      <c r="C65" s="28" t="s">
        <v>37</v>
      </c>
      <c r="D65" s="42"/>
      <c r="E65" s="28" t="s">
        <v>8</v>
      </c>
      <c r="F65" s="28"/>
      <c r="H65" s="28"/>
      <c r="I65" s="28" t="s">
        <v>17</v>
      </c>
      <c r="J65" s="42"/>
      <c r="K65" s="28" t="s">
        <v>35</v>
      </c>
      <c r="L65" s="28"/>
      <c r="M65" s="28"/>
    </row>
    <row r="66" spans="2:13" x14ac:dyDescent="0.3">
      <c r="B66" s="28"/>
      <c r="C66" s="28" t="s">
        <v>45</v>
      </c>
      <c r="D66" s="42"/>
      <c r="E66" s="28" t="s">
        <v>46</v>
      </c>
      <c r="F66" s="28"/>
      <c r="H66" s="28"/>
      <c r="I66" s="28" t="s">
        <v>30</v>
      </c>
      <c r="J66" s="42"/>
      <c r="K66" s="28" t="s">
        <v>31</v>
      </c>
      <c r="L66" s="28"/>
      <c r="M66" s="28"/>
    </row>
    <row r="67" spans="2:13" x14ac:dyDescent="0.3">
      <c r="B67" s="28"/>
      <c r="C67" s="28" t="s">
        <v>50</v>
      </c>
      <c r="D67" s="42"/>
      <c r="E67" s="28" t="s">
        <v>51</v>
      </c>
      <c r="F67" s="28"/>
      <c r="H67" s="28"/>
      <c r="I67" s="28"/>
      <c r="J67" s="28"/>
      <c r="K67" s="28"/>
      <c r="L67" s="28"/>
      <c r="M67" s="28"/>
    </row>
    <row r="68" spans="2:13" x14ac:dyDescent="0.3">
      <c r="B68" s="123" t="s">
        <v>61</v>
      </c>
      <c r="C68" s="123"/>
      <c r="D68" s="123"/>
      <c r="E68" s="43" t="e">
        <f>(D65*D66*6)/(D67*1000)</f>
        <v>#DIV/0!</v>
      </c>
      <c r="F68" s="28" t="s">
        <v>57</v>
      </c>
      <c r="H68" s="124" t="s">
        <v>62</v>
      </c>
      <c r="I68" s="124"/>
      <c r="J68" s="43">
        <f>J65*J66</f>
        <v>0</v>
      </c>
      <c r="K68" s="28" t="s">
        <v>25</v>
      </c>
      <c r="L68" s="28"/>
      <c r="M68" s="28"/>
    </row>
    <row r="87" spans="2:2" x14ac:dyDescent="0.3">
      <c r="B87" s="5"/>
    </row>
    <row r="88" spans="2:2" x14ac:dyDescent="0.3">
      <c r="B88" s="5"/>
    </row>
    <row r="89" spans="2:2" x14ac:dyDescent="0.3">
      <c r="B89" s="5"/>
    </row>
    <row r="90" spans="2:2" x14ac:dyDescent="0.3">
      <c r="B90" s="5"/>
    </row>
    <row r="91" spans="2:2" x14ac:dyDescent="0.3">
      <c r="B91" s="5"/>
    </row>
    <row r="92" spans="2:2" x14ac:dyDescent="0.3">
      <c r="B92" s="5"/>
    </row>
    <row r="93" spans="2:2" x14ac:dyDescent="0.3">
      <c r="B93" s="5"/>
    </row>
    <row r="94" spans="2:2" x14ac:dyDescent="0.3">
      <c r="B94" s="5"/>
    </row>
    <row r="95" spans="2:2" x14ac:dyDescent="0.3">
      <c r="B95" s="5"/>
    </row>
    <row r="96" spans="2:2" x14ac:dyDescent="0.3">
      <c r="B96" s="5"/>
    </row>
    <row r="97" spans="2:2" x14ac:dyDescent="0.3">
      <c r="B97" s="5"/>
    </row>
    <row r="98" spans="2:2" x14ac:dyDescent="0.3">
      <c r="B98" s="5"/>
    </row>
    <row r="99" spans="2:2" x14ac:dyDescent="0.3">
      <c r="B99" s="5"/>
    </row>
    <row r="100" spans="2:2" x14ac:dyDescent="0.3">
      <c r="B100" s="5"/>
    </row>
    <row r="101" spans="2:2" x14ac:dyDescent="0.3">
      <c r="B101" s="5"/>
    </row>
    <row r="102" spans="2:2" x14ac:dyDescent="0.3">
      <c r="B102" s="5"/>
    </row>
    <row r="103" spans="2:2" x14ac:dyDescent="0.3">
      <c r="B103" s="5"/>
    </row>
    <row r="104" spans="2:2" x14ac:dyDescent="0.3">
      <c r="B104" s="5"/>
    </row>
    <row r="105" spans="2:2" x14ac:dyDescent="0.3">
      <c r="B105" s="5"/>
    </row>
    <row r="106" spans="2:2" x14ac:dyDescent="0.3">
      <c r="B106" s="5"/>
    </row>
    <row r="107" spans="2:2" x14ac:dyDescent="0.3">
      <c r="B107" s="5"/>
    </row>
    <row r="108" spans="2:2" x14ac:dyDescent="0.3">
      <c r="B108" s="5"/>
    </row>
    <row r="109" spans="2:2" x14ac:dyDescent="0.3">
      <c r="B109" s="5"/>
    </row>
    <row r="110" spans="2:2" x14ac:dyDescent="0.3">
      <c r="B110" s="5"/>
    </row>
    <row r="111" spans="2:2" x14ac:dyDescent="0.3">
      <c r="B111" s="5"/>
    </row>
    <row r="112" spans="2:2" x14ac:dyDescent="0.3">
      <c r="B112" s="5"/>
    </row>
    <row r="113" spans="2:2" x14ac:dyDescent="0.3">
      <c r="B113" s="5"/>
    </row>
    <row r="114" spans="2:2" x14ac:dyDescent="0.3">
      <c r="B114" s="5"/>
    </row>
    <row r="115" spans="2:2" x14ac:dyDescent="0.3">
      <c r="B115" s="5"/>
    </row>
    <row r="116" spans="2:2" x14ac:dyDescent="0.3">
      <c r="B116" s="5"/>
    </row>
    <row r="117" spans="2:2" x14ac:dyDescent="0.3">
      <c r="B117" s="5"/>
    </row>
    <row r="118" spans="2:2" x14ac:dyDescent="0.3">
      <c r="B118" s="5"/>
    </row>
    <row r="119" spans="2:2" x14ac:dyDescent="0.3">
      <c r="B119" s="5"/>
    </row>
  </sheetData>
  <mergeCells count="46">
    <mergeCell ref="X30:Y30"/>
    <mergeCell ref="X31:Y31"/>
    <mergeCell ref="I15:J15"/>
    <mergeCell ref="I16:J16"/>
    <mergeCell ref="I17:J17"/>
    <mergeCell ref="H25:I25"/>
    <mergeCell ref="H26:I26"/>
    <mergeCell ref="X13:AA13"/>
    <mergeCell ref="X25:AC25"/>
    <mergeCell ref="X26:Y26"/>
    <mergeCell ref="X27:Y27"/>
    <mergeCell ref="X28:Y28"/>
    <mergeCell ref="B24:C24"/>
    <mergeCell ref="B5:L7"/>
    <mergeCell ref="B12:F12"/>
    <mergeCell ref="H12:P12"/>
    <mergeCell ref="B19:D19"/>
    <mergeCell ref="B22:F22"/>
    <mergeCell ref="H22:M22"/>
    <mergeCell ref="O22:R22"/>
    <mergeCell ref="H19:K19"/>
    <mergeCell ref="B28:C28"/>
    <mergeCell ref="O28:P28"/>
    <mergeCell ref="B31:F31"/>
    <mergeCell ref="H31:M31"/>
    <mergeCell ref="B52:C52"/>
    <mergeCell ref="O52:P52"/>
    <mergeCell ref="B36:C36"/>
    <mergeCell ref="H36:I36"/>
    <mergeCell ref="B39:F39"/>
    <mergeCell ref="H39:M39"/>
    <mergeCell ref="B44:C44"/>
    <mergeCell ref="H44:I44"/>
    <mergeCell ref="B45:D45"/>
    <mergeCell ref="B46:D46"/>
    <mergeCell ref="B47:F47"/>
    <mergeCell ref="H47:M47"/>
    <mergeCell ref="O47:R47"/>
    <mergeCell ref="B68:D68"/>
    <mergeCell ref="H68:I68"/>
    <mergeCell ref="B55:F55"/>
    <mergeCell ref="H55:M55"/>
    <mergeCell ref="B60:C60"/>
    <mergeCell ref="H60:I60"/>
    <mergeCell ref="B63:F63"/>
    <mergeCell ref="H63:M6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4869C-4E2C-4460-A1EC-22CC6590E99E}">
  <dimension ref="A1"/>
  <sheetViews>
    <sheetView topLeftCell="A2" zoomScale="38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11ED-1C5E-4F6F-99DE-FF4459C6CD44}">
  <dimension ref="A4:Q144"/>
  <sheetViews>
    <sheetView topLeftCell="A122" zoomScale="81" workbookViewId="0">
      <selection activeCell="B138" sqref="B138:G138"/>
    </sheetView>
  </sheetViews>
  <sheetFormatPr baseColWidth="10" defaultRowHeight="14.4" x14ac:dyDescent="0.3"/>
  <cols>
    <col min="1" max="16384" width="11.5546875" style="2"/>
  </cols>
  <sheetData>
    <row r="4" spans="2:17" ht="14.4" customHeight="1" x14ac:dyDescent="0.3">
      <c r="E4" s="101" t="s">
        <v>63</v>
      </c>
      <c r="F4" s="101"/>
      <c r="G4" s="101"/>
      <c r="H4" s="101"/>
      <c r="I4" s="101"/>
      <c r="J4" s="101"/>
      <c r="K4" s="101"/>
      <c r="L4" s="1"/>
      <c r="M4" s="1"/>
      <c r="N4" s="1"/>
      <c r="O4" s="1"/>
      <c r="P4" s="1"/>
      <c r="Q4" s="1"/>
    </row>
    <row r="5" spans="2:17" ht="14.4" customHeight="1" x14ac:dyDescent="0.3">
      <c r="E5" s="101"/>
      <c r="F5" s="101"/>
      <c r="G5" s="101"/>
      <c r="H5" s="101"/>
      <c r="I5" s="101"/>
      <c r="J5" s="101"/>
      <c r="K5" s="101"/>
      <c r="L5" s="1"/>
      <c r="M5" s="1"/>
      <c r="N5" s="1"/>
      <c r="O5" s="1"/>
      <c r="P5" s="1"/>
      <c r="Q5" s="1"/>
    </row>
    <row r="6" spans="2:17" ht="14.4" customHeight="1" x14ac:dyDescent="0.3"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12" spans="2:17" ht="15" thickBot="1" x14ac:dyDescent="0.35"/>
    <row r="13" spans="2:17" ht="19.2" thickTop="1" thickBot="1" x14ac:dyDescent="0.35">
      <c r="B13" s="151" t="s">
        <v>76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46"/>
    </row>
    <row r="14" spans="2:17" ht="15" thickTop="1" x14ac:dyDescent="0.3"/>
    <row r="17" spans="2:8" ht="18" x14ac:dyDescent="0.3">
      <c r="B17" s="106" t="s">
        <v>169</v>
      </c>
      <c r="C17" s="106"/>
      <c r="D17" s="106"/>
      <c r="E17" s="106"/>
      <c r="F17" s="27"/>
    </row>
    <row r="18" spans="2:8" x14ac:dyDescent="0.3">
      <c r="B18" s="7"/>
      <c r="C18" s="7"/>
      <c r="D18" s="7"/>
      <c r="E18" s="7"/>
      <c r="F18" s="46"/>
    </row>
    <row r="19" spans="2:8" x14ac:dyDescent="0.3">
      <c r="B19" s="7"/>
      <c r="C19" s="7"/>
      <c r="D19" s="7"/>
      <c r="E19" s="7"/>
      <c r="F19" s="46"/>
    </row>
    <row r="20" spans="2:8" ht="15" thickBot="1" x14ac:dyDescent="0.35"/>
    <row r="21" spans="2:8" ht="18.600000000000001" thickBot="1" x14ac:dyDescent="0.35">
      <c r="B21" s="145" t="s">
        <v>69</v>
      </c>
      <c r="C21" s="146"/>
      <c r="D21" s="146"/>
      <c r="E21" s="146"/>
      <c r="F21" s="147"/>
    </row>
    <row r="22" spans="2:8" x14ac:dyDescent="0.3">
      <c r="B22" s="47"/>
      <c r="C22" s="47"/>
      <c r="D22" s="47"/>
      <c r="E22" s="47"/>
      <c r="F22" s="47"/>
    </row>
    <row r="23" spans="2:8" x14ac:dyDescent="0.3">
      <c r="B23" s="47"/>
      <c r="C23" s="148" t="s">
        <v>71</v>
      </c>
      <c r="D23" s="148"/>
      <c r="E23" s="52"/>
      <c r="F23" s="47" t="s">
        <v>66</v>
      </c>
    </row>
    <row r="24" spans="2:8" x14ac:dyDescent="0.3">
      <c r="B24" s="47"/>
      <c r="C24" s="148" t="s">
        <v>64</v>
      </c>
      <c r="D24" s="148"/>
      <c r="E24" s="52"/>
      <c r="F24" s="47" t="s">
        <v>67</v>
      </c>
    </row>
    <row r="25" spans="2:8" x14ac:dyDescent="0.3">
      <c r="B25" s="47"/>
      <c r="C25" s="148" t="s">
        <v>65</v>
      </c>
      <c r="D25" s="148"/>
      <c r="E25" s="52">
        <f>F17</f>
        <v>0</v>
      </c>
      <c r="F25" s="47"/>
    </row>
    <row r="26" spans="2:8" x14ac:dyDescent="0.3">
      <c r="B26" s="47"/>
      <c r="C26" s="48"/>
      <c r="D26" s="48"/>
      <c r="E26" s="47"/>
      <c r="F26" s="47"/>
      <c r="H26" s="44"/>
    </row>
    <row r="27" spans="2:8" x14ac:dyDescent="0.3">
      <c r="B27" s="154" t="s">
        <v>72</v>
      </c>
      <c r="C27" s="154"/>
      <c r="D27" s="154"/>
      <c r="E27" s="56" t="e">
        <f>(E23*E24)/(1000*E25)</f>
        <v>#DIV/0!</v>
      </c>
      <c r="F27" s="47" t="s">
        <v>51</v>
      </c>
    </row>
    <row r="30" spans="2:8" ht="15" thickBot="1" x14ac:dyDescent="0.35"/>
    <row r="31" spans="2:8" ht="18.600000000000001" thickBot="1" x14ac:dyDescent="0.35">
      <c r="B31" s="145" t="s">
        <v>64</v>
      </c>
      <c r="C31" s="146"/>
      <c r="D31" s="146"/>
      <c r="E31" s="146"/>
      <c r="F31" s="147"/>
    </row>
    <row r="32" spans="2:8" x14ac:dyDescent="0.3">
      <c r="B32" s="49"/>
      <c r="C32" s="49"/>
      <c r="D32" s="49"/>
      <c r="E32" s="49"/>
      <c r="F32" s="49"/>
    </row>
    <row r="33" spans="2:14" x14ac:dyDescent="0.3">
      <c r="B33" s="49"/>
      <c r="C33" s="108" t="s">
        <v>73</v>
      </c>
      <c r="D33" s="108"/>
      <c r="E33" s="53">
        <v>30</v>
      </c>
      <c r="F33" s="49" t="s">
        <v>51</v>
      </c>
    </row>
    <row r="34" spans="2:14" x14ac:dyDescent="0.3">
      <c r="B34" s="49"/>
      <c r="C34" s="108" t="s">
        <v>65</v>
      </c>
      <c r="D34" s="108"/>
      <c r="E34" s="53">
        <v>1</v>
      </c>
      <c r="F34" s="49"/>
    </row>
    <row r="35" spans="2:14" x14ac:dyDescent="0.3">
      <c r="B35" s="49"/>
      <c r="C35" s="108" t="s">
        <v>71</v>
      </c>
      <c r="D35" s="108"/>
      <c r="E35" s="53"/>
      <c r="F35" s="49" t="s">
        <v>77</v>
      </c>
    </row>
    <row r="36" spans="2:14" x14ac:dyDescent="0.3">
      <c r="B36" s="49"/>
      <c r="C36" s="49"/>
      <c r="D36" s="49"/>
      <c r="E36" s="49"/>
      <c r="F36" s="49"/>
    </row>
    <row r="37" spans="2:14" x14ac:dyDescent="0.3">
      <c r="B37" s="152" t="s">
        <v>75</v>
      </c>
      <c r="C37" s="152"/>
      <c r="D37" s="152"/>
      <c r="E37" s="55" t="e">
        <f>(E33*E34*1000)/E35</f>
        <v>#DIV/0!</v>
      </c>
      <c r="F37" s="49"/>
    </row>
    <row r="40" spans="2:14" ht="15" thickBot="1" x14ac:dyDescent="0.35"/>
    <row r="41" spans="2:14" ht="18.600000000000001" thickBot="1" x14ac:dyDescent="0.35">
      <c r="B41" s="145" t="s">
        <v>70</v>
      </c>
      <c r="C41" s="146"/>
      <c r="D41" s="146"/>
      <c r="E41" s="146"/>
      <c r="F41" s="147"/>
      <c r="I41" s="145" t="s">
        <v>70</v>
      </c>
      <c r="J41" s="146"/>
      <c r="K41" s="146"/>
      <c r="L41" s="146"/>
      <c r="M41" s="146"/>
      <c r="N41" s="147"/>
    </row>
    <row r="42" spans="2:14" x14ac:dyDescent="0.3">
      <c r="B42" s="47"/>
      <c r="C42" s="47"/>
      <c r="D42" s="47"/>
      <c r="E42" s="47"/>
      <c r="F42" s="47"/>
      <c r="I42" s="47"/>
      <c r="J42" s="47"/>
      <c r="K42" s="47"/>
      <c r="L42" s="47"/>
      <c r="M42" s="47"/>
      <c r="N42" s="47"/>
    </row>
    <row r="43" spans="2:14" x14ac:dyDescent="0.3">
      <c r="B43" s="148" t="s">
        <v>73</v>
      </c>
      <c r="C43" s="148"/>
      <c r="D43" s="148"/>
      <c r="E43" s="52">
        <v>122</v>
      </c>
      <c r="F43" s="47" t="s">
        <v>51</v>
      </c>
      <c r="I43" s="148" t="s">
        <v>79</v>
      </c>
      <c r="J43" s="148"/>
      <c r="K43" s="52"/>
      <c r="L43" s="47" t="s">
        <v>84</v>
      </c>
      <c r="M43" s="47"/>
      <c r="N43" s="47"/>
    </row>
    <row r="44" spans="2:14" x14ac:dyDescent="0.3">
      <c r="B44" s="148" t="s">
        <v>65</v>
      </c>
      <c r="C44" s="148"/>
      <c r="D44" s="148"/>
      <c r="E44" s="52">
        <v>1</v>
      </c>
      <c r="F44" s="47"/>
      <c r="I44" s="148" t="s">
        <v>83</v>
      </c>
      <c r="J44" s="148"/>
      <c r="K44" s="52">
        <f>G53</f>
        <v>0</v>
      </c>
      <c r="L44" s="47"/>
      <c r="M44" s="47"/>
      <c r="N44" s="47"/>
    </row>
    <row r="45" spans="2:14" x14ac:dyDescent="0.3">
      <c r="B45" s="148" t="s">
        <v>64</v>
      </c>
      <c r="C45" s="148"/>
      <c r="D45" s="148"/>
      <c r="E45" s="52">
        <v>688</v>
      </c>
      <c r="F45" s="47" t="s">
        <v>67</v>
      </c>
      <c r="I45" s="150" t="s">
        <v>85</v>
      </c>
      <c r="J45" s="150"/>
      <c r="K45" s="52"/>
      <c r="L45" s="47" t="s">
        <v>27</v>
      </c>
      <c r="M45" s="47"/>
      <c r="N45" s="47"/>
    </row>
    <row r="46" spans="2:14" x14ac:dyDescent="0.3">
      <c r="B46" s="48"/>
      <c r="C46" s="48"/>
      <c r="D46" s="48"/>
      <c r="E46" s="47"/>
      <c r="F46" s="47"/>
      <c r="I46" s="149" t="s">
        <v>81</v>
      </c>
      <c r="J46" s="149"/>
      <c r="K46" s="47">
        <f>PI()</f>
        <v>3.1415926535897931</v>
      </c>
      <c r="L46" s="47"/>
      <c r="M46" s="47"/>
      <c r="N46" s="47"/>
    </row>
    <row r="47" spans="2:14" x14ac:dyDescent="0.3">
      <c r="B47" s="153" t="s">
        <v>74</v>
      </c>
      <c r="C47" s="153"/>
      <c r="D47" s="153"/>
      <c r="E47" s="56">
        <f>(E43*100*E44)/E45</f>
        <v>17.732558139534884</v>
      </c>
      <c r="F47" s="47" t="s">
        <v>77</v>
      </c>
      <c r="I47" s="153" t="s">
        <v>86</v>
      </c>
      <c r="J47" s="153"/>
      <c r="K47" s="153"/>
      <c r="L47" s="153"/>
      <c r="M47" s="56" t="e">
        <f>(K43*K46*20)/(K45*K44)</f>
        <v>#DIV/0!</v>
      </c>
      <c r="N47" s="47" t="s">
        <v>77</v>
      </c>
    </row>
    <row r="49" spans="2:14" ht="15" thickBot="1" x14ac:dyDescent="0.35"/>
    <row r="50" spans="2:14" ht="19.2" thickTop="1" thickBot="1" x14ac:dyDescent="0.35">
      <c r="B50" s="151" t="s">
        <v>78</v>
      </c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46"/>
    </row>
    <row r="51" spans="2:14" ht="15" thickTop="1" x14ac:dyDescent="0.3"/>
    <row r="53" spans="2:14" ht="18" x14ac:dyDescent="0.3">
      <c r="B53" s="115" t="s">
        <v>143</v>
      </c>
      <c r="C53" s="115"/>
      <c r="D53" s="115"/>
      <c r="E53" s="115"/>
      <c r="F53" s="144"/>
      <c r="G53" s="73"/>
    </row>
    <row r="56" spans="2:14" ht="15" thickBot="1" x14ac:dyDescent="0.35"/>
    <row r="57" spans="2:14" ht="18.600000000000001" thickBot="1" x14ac:dyDescent="0.35">
      <c r="B57" s="145" t="s">
        <v>79</v>
      </c>
      <c r="C57" s="146"/>
      <c r="D57" s="146"/>
      <c r="E57" s="146"/>
      <c r="F57" s="146"/>
      <c r="G57" s="147"/>
    </row>
    <row r="58" spans="2:14" x14ac:dyDescent="0.3">
      <c r="B58" s="8"/>
      <c r="C58" s="8"/>
      <c r="D58" s="8"/>
      <c r="E58" s="8"/>
      <c r="F58" s="8"/>
      <c r="G58" s="8"/>
    </row>
    <row r="59" spans="2:14" x14ac:dyDescent="0.3">
      <c r="B59" s="8"/>
      <c r="C59" s="105" t="s">
        <v>80</v>
      </c>
      <c r="D59" s="105"/>
      <c r="E59" s="10"/>
      <c r="F59" s="8" t="s">
        <v>27</v>
      </c>
      <c r="G59" s="8"/>
    </row>
    <row r="60" spans="2:14" x14ac:dyDescent="0.3">
      <c r="B60" s="8"/>
      <c r="C60" s="105" t="s">
        <v>70</v>
      </c>
      <c r="D60" s="105"/>
      <c r="E60" s="10"/>
      <c r="F60" s="8" t="s">
        <v>77</v>
      </c>
      <c r="G60" s="8"/>
    </row>
    <row r="61" spans="2:14" x14ac:dyDescent="0.3">
      <c r="B61" s="8"/>
      <c r="C61" s="105" t="s">
        <v>83</v>
      </c>
      <c r="D61" s="105"/>
      <c r="E61" s="10">
        <f>G53</f>
        <v>0</v>
      </c>
      <c r="F61" s="8"/>
      <c r="G61" s="8"/>
    </row>
    <row r="62" spans="2:14" x14ac:dyDescent="0.3">
      <c r="B62" s="8"/>
      <c r="C62" s="143" t="s">
        <v>81</v>
      </c>
      <c r="D62" s="143"/>
      <c r="E62" s="51">
        <f>PI()</f>
        <v>3.1415926535897931</v>
      </c>
      <c r="F62" s="8"/>
      <c r="G62" s="8"/>
    </row>
    <row r="63" spans="2:14" x14ac:dyDescent="0.3">
      <c r="B63" s="8"/>
      <c r="C63" s="8"/>
      <c r="D63" s="8"/>
      <c r="E63" s="8"/>
      <c r="F63" s="8"/>
      <c r="G63" s="8"/>
    </row>
    <row r="64" spans="2:14" x14ac:dyDescent="0.3">
      <c r="B64" s="8" t="s">
        <v>82</v>
      </c>
      <c r="C64" s="8"/>
      <c r="D64" s="8"/>
      <c r="E64" s="8"/>
      <c r="F64" s="54">
        <f>(E59*E60*E61)/(E62*20)</f>
        <v>0</v>
      </c>
      <c r="G64" s="8" t="s">
        <v>84</v>
      </c>
    </row>
    <row r="67" spans="2:14" ht="15" thickBot="1" x14ac:dyDescent="0.35"/>
    <row r="68" spans="2:14" ht="18.600000000000001" thickBot="1" x14ac:dyDescent="0.35">
      <c r="B68" s="145" t="s">
        <v>36</v>
      </c>
      <c r="C68" s="155"/>
      <c r="D68" s="155"/>
      <c r="E68" s="155"/>
      <c r="F68" s="155"/>
      <c r="G68" s="156"/>
    </row>
    <row r="69" spans="2:14" x14ac:dyDescent="0.3">
      <c r="B69" s="20"/>
      <c r="C69" s="20"/>
      <c r="D69" s="20"/>
      <c r="E69" s="20"/>
      <c r="F69" s="20"/>
      <c r="G69" s="20"/>
    </row>
    <row r="70" spans="2:14" x14ac:dyDescent="0.3">
      <c r="B70" s="20"/>
      <c r="C70" s="119" t="s">
        <v>79</v>
      </c>
      <c r="D70" s="119"/>
      <c r="E70" s="23"/>
      <c r="F70" s="20" t="s">
        <v>84</v>
      </c>
      <c r="G70" s="20"/>
    </row>
    <row r="71" spans="2:14" x14ac:dyDescent="0.3">
      <c r="B71" s="20"/>
      <c r="C71" s="119" t="s">
        <v>70</v>
      </c>
      <c r="D71" s="119"/>
      <c r="E71" s="23"/>
      <c r="F71" s="20" t="s">
        <v>77</v>
      </c>
      <c r="G71" s="20"/>
    </row>
    <row r="72" spans="2:14" x14ac:dyDescent="0.3">
      <c r="B72" s="20"/>
      <c r="C72" s="119" t="s">
        <v>65</v>
      </c>
      <c r="D72" s="119"/>
      <c r="E72" s="23">
        <f>G53</f>
        <v>0</v>
      </c>
      <c r="F72" s="20"/>
      <c r="G72" s="20"/>
    </row>
    <row r="73" spans="2:14" x14ac:dyDescent="0.3">
      <c r="B73" s="20"/>
      <c r="C73" s="119" t="s">
        <v>81</v>
      </c>
      <c r="D73" s="119"/>
      <c r="E73" s="20">
        <f>PI()</f>
        <v>3.1415926535897931</v>
      </c>
      <c r="F73" s="20"/>
      <c r="G73" s="20"/>
    </row>
    <row r="74" spans="2:14" x14ac:dyDescent="0.3">
      <c r="B74" s="20"/>
      <c r="C74" s="20"/>
      <c r="D74" s="20"/>
      <c r="E74" s="20"/>
      <c r="F74" s="20"/>
      <c r="G74" s="20"/>
    </row>
    <row r="75" spans="2:14" x14ac:dyDescent="0.3">
      <c r="B75" s="120" t="s">
        <v>87</v>
      </c>
      <c r="C75" s="120"/>
      <c r="D75" s="120"/>
      <c r="E75" s="120"/>
      <c r="F75" s="22" t="e">
        <f>(E70*E73*20)/(E71*E72)</f>
        <v>#DIV/0!</v>
      </c>
      <c r="G75" s="20" t="s">
        <v>27</v>
      </c>
    </row>
    <row r="78" spans="2:14" ht="15" thickBot="1" x14ac:dyDescent="0.35"/>
    <row r="79" spans="2:14" ht="19.2" customHeight="1" thickTop="1" thickBot="1" x14ac:dyDescent="0.35">
      <c r="B79" s="157" t="s">
        <v>88</v>
      </c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46"/>
    </row>
    <row r="80" spans="2:14" ht="15.6" thickTop="1" thickBot="1" x14ac:dyDescent="0.35"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</row>
    <row r="81" spans="1:14" ht="15.6" thickTop="1" thickBot="1" x14ac:dyDescent="0.35">
      <c r="G81" s="46"/>
    </row>
    <row r="82" spans="1:14" ht="19.2" thickTop="1" thickBot="1" x14ac:dyDescent="0.35">
      <c r="A82" s="46"/>
      <c r="B82" s="151" t="s">
        <v>90</v>
      </c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46"/>
    </row>
    <row r="83" spans="1:14" ht="15" thickTop="1" x14ac:dyDescent="0.3">
      <c r="G83" s="46"/>
    </row>
    <row r="85" spans="1:14" ht="18" x14ac:dyDescent="0.3">
      <c r="B85" s="116" t="s">
        <v>89</v>
      </c>
      <c r="C85" s="116"/>
      <c r="D85" s="116"/>
      <c r="E85" s="116"/>
      <c r="F85" s="116"/>
      <c r="G85" s="45"/>
    </row>
    <row r="88" spans="1:14" ht="15" thickBot="1" x14ac:dyDescent="0.35"/>
    <row r="89" spans="1:14" ht="18.600000000000001" thickBot="1" x14ac:dyDescent="0.35">
      <c r="B89" s="145" t="s">
        <v>24</v>
      </c>
      <c r="C89" s="146"/>
      <c r="D89" s="146"/>
      <c r="E89" s="146"/>
      <c r="F89" s="146"/>
      <c r="G89" s="147"/>
    </row>
    <row r="90" spans="1:14" x14ac:dyDescent="0.3">
      <c r="B90" s="32"/>
      <c r="C90" s="32"/>
      <c r="D90" s="32"/>
      <c r="E90" s="32"/>
      <c r="F90" s="32"/>
      <c r="G90" s="32"/>
    </row>
    <row r="91" spans="1:14" x14ac:dyDescent="0.3">
      <c r="B91" s="32"/>
      <c r="C91" s="130" t="s">
        <v>91</v>
      </c>
      <c r="D91" s="130"/>
      <c r="E91" s="60"/>
      <c r="F91" s="32" t="s">
        <v>27</v>
      </c>
      <c r="G91" s="32"/>
    </row>
    <row r="92" spans="1:14" x14ac:dyDescent="0.3">
      <c r="B92" s="32"/>
      <c r="C92" s="130" t="s">
        <v>50</v>
      </c>
      <c r="D92" s="130"/>
      <c r="E92" s="60"/>
      <c r="F92" s="32" t="s">
        <v>51</v>
      </c>
      <c r="G92" s="32"/>
    </row>
    <row r="93" spans="1:14" x14ac:dyDescent="0.3">
      <c r="B93" s="32"/>
      <c r="C93" s="130" t="s">
        <v>92</v>
      </c>
      <c r="D93" s="130"/>
      <c r="E93" s="60">
        <v>0.86</v>
      </c>
      <c r="F93" s="32"/>
      <c r="G93" s="32"/>
    </row>
    <row r="94" spans="1:14" x14ac:dyDescent="0.3">
      <c r="B94" s="32"/>
      <c r="C94" s="32"/>
      <c r="D94" s="32"/>
      <c r="E94" s="32"/>
      <c r="F94" s="32"/>
      <c r="G94" s="32"/>
    </row>
    <row r="95" spans="1:14" x14ac:dyDescent="0.3">
      <c r="B95" s="158" t="s">
        <v>93</v>
      </c>
      <c r="C95" s="158"/>
      <c r="D95" s="158"/>
      <c r="E95" s="159"/>
      <c r="F95" s="59">
        <f>(E91*E92*E93)/600</f>
        <v>0</v>
      </c>
      <c r="G95" s="32" t="s">
        <v>94</v>
      </c>
    </row>
    <row r="97" spans="2:9" ht="15" thickBot="1" x14ac:dyDescent="0.35"/>
    <row r="98" spans="2:9" ht="18.600000000000001" thickBot="1" x14ac:dyDescent="0.35">
      <c r="B98" s="145" t="s">
        <v>50</v>
      </c>
      <c r="C98" s="146"/>
      <c r="D98" s="146"/>
      <c r="E98" s="146"/>
      <c r="F98" s="146"/>
      <c r="G98" s="147"/>
    </row>
    <row r="99" spans="2:9" x14ac:dyDescent="0.3">
      <c r="B99" s="36"/>
      <c r="C99" s="36"/>
      <c r="D99" s="36"/>
      <c r="E99" s="36"/>
      <c r="F99" s="36"/>
      <c r="G99" s="36"/>
    </row>
    <row r="100" spans="2:9" x14ac:dyDescent="0.3">
      <c r="B100" s="36"/>
      <c r="C100" s="161" t="s">
        <v>24</v>
      </c>
      <c r="D100" s="161"/>
      <c r="E100" s="63"/>
      <c r="F100" s="36" t="s">
        <v>94</v>
      </c>
      <c r="G100" s="36"/>
    </row>
    <row r="101" spans="2:9" x14ac:dyDescent="0.3">
      <c r="B101" s="36"/>
      <c r="C101" s="161" t="s">
        <v>91</v>
      </c>
      <c r="D101" s="161"/>
      <c r="E101" s="63"/>
      <c r="F101" s="36" t="s">
        <v>27</v>
      </c>
      <c r="G101" s="36"/>
    </row>
    <row r="102" spans="2:9" x14ac:dyDescent="0.3">
      <c r="B102" s="36"/>
      <c r="C102" s="161" t="s">
        <v>92</v>
      </c>
      <c r="D102" s="161"/>
      <c r="E102" s="63">
        <f>G85</f>
        <v>0</v>
      </c>
      <c r="F102" s="36"/>
      <c r="G102" s="36"/>
    </row>
    <row r="103" spans="2:9" x14ac:dyDescent="0.3">
      <c r="B103" s="36"/>
      <c r="C103" s="36"/>
      <c r="D103" s="36"/>
      <c r="E103" s="36"/>
      <c r="F103" s="36"/>
      <c r="G103" s="36"/>
    </row>
    <row r="104" spans="2:9" x14ac:dyDescent="0.3">
      <c r="B104" s="127" t="s">
        <v>95</v>
      </c>
      <c r="C104" s="127"/>
      <c r="D104" s="127"/>
      <c r="E104" s="127"/>
      <c r="F104" s="62" t="e">
        <f>(E100*600)/(E101*E102)</f>
        <v>#DIV/0!</v>
      </c>
      <c r="G104" s="36" t="s">
        <v>51</v>
      </c>
      <c r="I104"/>
    </row>
    <row r="106" spans="2:9" ht="15" thickBot="1" x14ac:dyDescent="0.35"/>
    <row r="107" spans="2:9" ht="18.600000000000001" thickBot="1" x14ac:dyDescent="0.35">
      <c r="B107" s="145" t="s">
        <v>36</v>
      </c>
      <c r="C107" s="146"/>
      <c r="D107" s="146"/>
      <c r="E107" s="146"/>
      <c r="F107" s="146"/>
      <c r="G107" s="147"/>
    </row>
    <row r="108" spans="2:9" x14ac:dyDescent="0.3">
      <c r="B108" s="39"/>
      <c r="C108" s="39"/>
      <c r="D108" s="39"/>
      <c r="E108" s="39"/>
      <c r="F108" s="39"/>
      <c r="G108" s="39"/>
    </row>
    <row r="109" spans="2:9" x14ac:dyDescent="0.3">
      <c r="B109" s="39"/>
      <c r="C109" s="160" t="s">
        <v>24</v>
      </c>
      <c r="D109" s="160"/>
      <c r="E109" s="64"/>
      <c r="F109" s="39" t="s">
        <v>94</v>
      </c>
      <c r="G109" s="39"/>
    </row>
    <row r="110" spans="2:9" x14ac:dyDescent="0.3">
      <c r="B110" s="39"/>
      <c r="C110" s="160" t="s">
        <v>50</v>
      </c>
      <c r="D110" s="160"/>
      <c r="E110" s="64"/>
      <c r="F110" s="39" t="s">
        <v>51</v>
      </c>
      <c r="G110" s="39"/>
    </row>
    <row r="111" spans="2:9" x14ac:dyDescent="0.3">
      <c r="B111" s="39"/>
      <c r="C111" s="160" t="s">
        <v>96</v>
      </c>
      <c r="D111" s="160"/>
      <c r="E111" s="64">
        <f>G85</f>
        <v>0</v>
      </c>
      <c r="F111" s="39"/>
      <c r="G111" s="39"/>
    </row>
    <row r="112" spans="2:9" x14ac:dyDescent="0.3">
      <c r="B112" s="39"/>
      <c r="C112" s="39"/>
      <c r="D112" s="39"/>
      <c r="E112" s="39"/>
      <c r="F112" s="39"/>
      <c r="G112" s="39"/>
    </row>
    <row r="113" spans="2:14" x14ac:dyDescent="0.3">
      <c r="B113" s="125" t="s">
        <v>97</v>
      </c>
      <c r="C113" s="125"/>
      <c r="D113" s="125"/>
      <c r="E113" s="125"/>
      <c r="F113" s="65" t="e">
        <f>(E109*600)/(E110*E111)</f>
        <v>#DIV/0!</v>
      </c>
      <c r="G113" s="39" t="s">
        <v>27</v>
      </c>
    </row>
    <row r="116" spans="2:14" ht="15" thickBot="1" x14ac:dyDescent="0.35"/>
    <row r="117" spans="2:14" ht="19.2" customHeight="1" thickTop="1" thickBot="1" x14ac:dyDescent="0.35">
      <c r="B117" s="157" t="s">
        <v>98</v>
      </c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46"/>
    </row>
    <row r="118" spans="2:14" ht="18.600000000000001" customHeight="1" thickTop="1" thickBot="1" x14ac:dyDescent="0.35"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46"/>
    </row>
    <row r="119" spans="2:14" ht="15.6" thickTop="1" thickBot="1" x14ac:dyDescent="0.35"/>
    <row r="120" spans="2:14" ht="18.600000000000001" thickBot="1" x14ac:dyDescent="0.35">
      <c r="B120" s="145" t="s">
        <v>24</v>
      </c>
      <c r="C120" s="146"/>
      <c r="D120" s="146"/>
      <c r="E120" s="146"/>
      <c r="F120" s="146"/>
      <c r="G120" s="147"/>
    </row>
    <row r="121" spans="2:14" x14ac:dyDescent="0.3">
      <c r="B121" s="28"/>
      <c r="C121" s="28"/>
      <c r="D121" s="28"/>
      <c r="E121" s="28"/>
      <c r="F121" s="28"/>
      <c r="G121" s="28"/>
    </row>
    <row r="122" spans="2:14" x14ac:dyDescent="0.3">
      <c r="B122" s="28"/>
      <c r="C122" s="28"/>
      <c r="D122" s="67" t="s">
        <v>79</v>
      </c>
      <c r="E122" s="27"/>
      <c r="F122" s="28" t="s">
        <v>84</v>
      </c>
      <c r="G122" s="28"/>
    </row>
    <row r="123" spans="2:14" x14ac:dyDescent="0.3">
      <c r="B123" s="28"/>
      <c r="C123" s="28"/>
      <c r="D123" s="67" t="s">
        <v>64</v>
      </c>
      <c r="E123" s="27"/>
      <c r="F123" s="28" t="s">
        <v>67</v>
      </c>
      <c r="G123" s="28"/>
    </row>
    <row r="124" spans="2:14" x14ac:dyDescent="0.3">
      <c r="B124" s="28"/>
      <c r="C124" s="28"/>
      <c r="D124" s="67" t="s">
        <v>99</v>
      </c>
      <c r="E124" s="27">
        <v>9550</v>
      </c>
      <c r="F124" s="28"/>
      <c r="G124" s="28"/>
    </row>
    <row r="125" spans="2:14" x14ac:dyDescent="0.3">
      <c r="B125" s="28"/>
      <c r="C125" s="28"/>
      <c r="D125" s="28"/>
      <c r="E125" s="28"/>
      <c r="F125" s="28"/>
      <c r="G125" s="28"/>
    </row>
    <row r="126" spans="2:14" x14ac:dyDescent="0.3">
      <c r="B126" s="162" t="s">
        <v>100</v>
      </c>
      <c r="C126" s="162"/>
      <c r="D126" s="162"/>
      <c r="E126" s="162"/>
      <c r="F126" s="66">
        <f>(E122*E123)/E124</f>
        <v>0</v>
      </c>
      <c r="G126" s="28" t="s">
        <v>94</v>
      </c>
    </row>
    <row r="128" spans="2:14" ht="15" thickBot="1" x14ac:dyDescent="0.35"/>
    <row r="129" spans="2:7" ht="18.600000000000001" thickBot="1" x14ac:dyDescent="0.35">
      <c r="B129" s="145" t="s">
        <v>79</v>
      </c>
      <c r="C129" s="146"/>
      <c r="D129" s="146"/>
      <c r="E129" s="146"/>
      <c r="F129" s="146"/>
      <c r="G129" s="147"/>
    </row>
    <row r="130" spans="2:7" x14ac:dyDescent="0.3">
      <c r="B130" s="47"/>
      <c r="C130" s="47"/>
      <c r="D130" s="47"/>
      <c r="E130" s="47"/>
      <c r="F130" s="47"/>
      <c r="G130" s="47"/>
    </row>
    <row r="131" spans="2:7" x14ac:dyDescent="0.3">
      <c r="B131" s="47"/>
      <c r="C131" s="47"/>
      <c r="D131" s="48" t="s">
        <v>64</v>
      </c>
      <c r="E131" s="52"/>
      <c r="F131" s="47" t="s">
        <v>67</v>
      </c>
      <c r="G131" s="47"/>
    </row>
    <row r="132" spans="2:7" x14ac:dyDescent="0.3">
      <c r="B132" s="47"/>
      <c r="C132" s="47"/>
      <c r="D132" s="48" t="s">
        <v>24</v>
      </c>
      <c r="E132" s="52"/>
      <c r="F132" s="47" t="s">
        <v>94</v>
      </c>
      <c r="G132" s="47"/>
    </row>
    <row r="133" spans="2:7" x14ac:dyDescent="0.3">
      <c r="B133" s="47"/>
      <c r="C133" s="47"/>
      <c r="D133" s="48" t="s">
        <v>101</v>
      </c>
      <c r="E133" s="52">
        <v>9550</v>
      </c>
      <c r="F133" s="47"/>
      <c r="G133" s="47"/>
    </row>
    <row r="134" spans="2:7" x14ac:dyDescent="0.3">
      <c r="B134" s="47"/>
      <c r="C134" s="47"/>
      <c r="D134" s="48"/>
      <c r="E134" s="47"/>
      <c r="F134" s="47"/>
      <c r="G134" s="47"/>
    </row>
    <row r="135" spans="2:7" x14ac:dyDescent="0.3">
      <c r="B135" s="154" t="s">
        <v>102</v>
      </c>
      <c r="C135" s="154"/>
      <c r="D135" s="154"/>
      <c r="E135" s="154"/>
      <c r="F135" s="56" t="e">
        <f>(E132*E133)/E131</f>
        <v>#DIV/0!</v>
      </c>
      <c r="G135" s="47" t="s">
        <v>84</v>
      </c>
    </row>
    <row r="137" spans="2:7" ht="15" thickBot="1" x14ac:dyDescent="0.35"/>
    <row r="138" spans="2:7" ht="18.600000000000001" thickBot="1" x14ac:dyDescent="0.35">
      <c r="B138" s="145" t="s">
        <v>64</v>
      </c>
      <c r="C138" s="146"/>
      <c r="D138" s="146"/>
      <c r="E138" s="146"/>
      <c r="F138" s="146"/>
      <c r="G138" s="147"/>
    </row>
    <row r="139" spans="2:7" x14ac:dyDescent="0.3">
      <c r="B139" s="49"/>
      <c r="C139" s="49"/>
      <c r="D139" s="49"/>
      <c r="E139" s="49"/>
      <c r="F139" s="49"/>
      <c r="G139" s="49"/>
    </row>
    <row r="140" spans="2:7" x14ac:dyDescent="0.3">
      <c r="B140" s="49"/>
      <c r="C140" s="49"/>
      <c r="D140" s="50" t="s">
        <v>24</v>
      </c>
      <c r="E140" s="53"/>
      <c r="F140" s="49" t="s">
        <v>94</v>
      </c>
      <c r="G140" s="49"/>
    </row>
    <row r="141" spans="2:7" x14ac:dyDescent="0.3">
      <c r="B141" s="49"/>
      <c r="C141" s="49"/>
      <c r="D141" s="50" t="s">
        <v>79</v>
      </c>
      <c r="E141" s="53"/>
      <c r="F141" s="49" t="s">
        <v>84</v>
      </c>
      <c r="G141" s="49"/>
    </row>
    <row r="142" spans="2:7" x14ac:dyDescent="0.3">
      <c r="B142" s="49"/>
      <c r="C142" s="49"/>
      <c r="D142" s="50" t="s">
        <v>101</v>
      </c>
      <c r="E142" s="53">
        <v>9550</v>
      </c>
      <c r="F142" s="49"/>
      <c r="G142" s="49"/>
    </row>
    <row r="143" spans="2:7" x14ac:dyDescent="0.3">
      <c r="B143" s="49"/>
      <c r="C143" s="49"/>
      <c r="D143" s="49"/>
      <c r="E143" s="49"/>
      <c r="F143" s="49"/>
      <c r="G143" s="49"/>
    </row>
    <row r="144" spans="2:7" x14ac:dyDescent="0.3">
      <c r="B144" s="121" t="s">
        <v>103</v>
      </c>
      <c r="C144" s="121"/>
      <c r="D144" s="121"/>
      <c r="E144" s="121"/>
      <c r="F144" s="55" t="e">
        <f>(E140*E142)/E141</f>
        <v>#DIV/0!</v>
      </c>
      <c r="G144" s="49" t="s">
        <v>67</v>
      </c>
    </row>
  </sheetData>
  <mergeCells count="62">
    <mergeCell ref="B129:G129"/>
    <mergeCell ref="B135:E135"/>
    <mergeCell ref="B138:G138"/>
    <mergeCell ref="B144:E144"/>
    <mergeCell ref="B113:E113"/>
    <mergeCell ref="B126:E126"/>
    <mergeCell ref="B120:G120"/>
    <mergeCell ref="B117:M118"/>
    <mergeCell ref="B107:G107"/>
    <mergeCell ref="C109:D109"/>
    <mergeCell ref="C110:D110"/>
    <mergeCell ref="C111:D111"/>
    <mergeCell ref="B98:G98"/>
    <mergeCell ref="C100:D100"/>
    <mergeCell ref="C101:D101"/>
    <mergeCell ref="C102:D102"/>
    <mergeCell ref="B104:E104"/>
    <mergeCell ref="B89:G89"/>
    <mergeCell ref="C91:D91"/>
    <mergeCell ref="C92:D92"/>
    <mergeCell ref="C93:D93"/>
    <mergeCell ref="B95:E95"/>
    <mergeCell ref="B75:E75"/>
    <mergeCell ref="B85:F85"/>
    <mergeCell ref="B82:M82"/>
    <mergeCell ref="B68:G68"/>
    <mergeCell ref="C70:D70"/>
    <mergeCell ref="C71:D71"/>
    <mergeCell ref="C72:D72"/>
    <mergeCell ref="C73:D73"/>
    <mergeCell ref="B79:M80"/>
    <mergeCell ref="E4:K5"/>
    <mergeCell ref="B27:D27"/>
    <mergeCell ref="B31:F31"/>
    <mergeCell ref="C33:D33"/>
    <mergeCell ref="C34:D34"/>
    <mergeCell ref="B21:F21"/>
    <mergeCell ref="C23:D23"/>
    <mergeCell ref="C24:D24"/>
    <mergeCell ref="C25:D25"/>
    <mergeCell ref="B17:E17"/>
    <mergeCell ref="B37:D37"/>
    <mergeCell ref="B13:M13"/>
    <mergeCell ref="B47:D47"/>
    <mergeCell ref="B45:D45"/>
    <mergeCell ref="B44:D44"/>
    <mergeCell ref="B43:D43"/>
    <mergeCell ref="B41:F41"/>
    <mergeCell ref="C35:D35"/>
    <mergeCell ref="I47:L47"/>
    <mergeCell ref="I41:N41"/>
    <mergeCell ref="C62:D62"/>
    <mergeCell ref="B53:F53"/>
    <mergeCell ref="B57:G57"/>
    <mergeCell ref="I43:J43"/>
    <mergeCell ref="I46:J46"/>
    <mergeCell ref="I45:J45"/>
    <mergeCell ref="I44:J44"/>
    <mergeCell ref="B50:M50"/>
    <mergeCell ref="C59:D59"/>
    <mergeCell ref="C60:D60"/>
    <mergeCell ref="C61:D6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3CB91-3EAD-448A-9F0E-50B9599D3BD0}">
  <dimension ref="B4:N91"/>
  <sheetViews>
    <sheetView zoomScaleNormal="100" workbookViewId="0">
      <selection activeCell="O7" sqref="O7"/>
    </sheetView>
  </sheetViews>
  <sheetFormatPr baseColWidth="10" defaultRowHeight="14.4" x14ac:dyDescent="0.3"/>
  <cols>
    <col min="1" max="16384" width="11.5546875" style="2"/>
  </cols>
  <sheetData>
    <row r="4" spans="2:13" x14ac:dyDescent="0.3">
      <c r="E4" s="101" t="s">
        <v>104</v>
      </c>
      <c r="F4" s="101"/>
      <c r="G4" s="101"/>
      <c r="H4" s="101"/>
      <c r="I4" s="101"/>
      <c r="J4" s="101"/>
      <c r="K4" s="101"/>
    </row>
    <row r="5" spans="2:13" ht="14.4" customHeight="1" x14ac:dyDescent="0.3">
      <c r="E5" s="101"/>
      <c r="F5" s="101"/>
      <c r="G5" s="101"/>
      <c r="H5" s="101"/>
      <c r="I5" s="101"/>
      <c r="J5" s="101"/>
      <c r="K5" s="101"/>
    </row>
    <row r="6" spans="2:13" ht="14.4" customHeight="1" x14ac:dyDescent="0.3"/>
    <row r="9" spans="2:13" ht="15.6" x14ac:dyDescent="0.3">
      <c r="F9" s="164" t="s">
        <v>106</v>
      </c>
      <c r="G9" s="158"/>
      <c r="H9" s="158"/>
    </row>
    <row r="10" spans="2:13" x14ac:dyDescent="0.3">
      <c r="F10" s="68" t="s">
        <v>107</v>
      </c>
      <c r="G10" s="69" t="s">
        <v>109</v>
      </c>
      <c r="H10" s="33" t="s">
        <v>112</v>
      </c>
    </row>
    <row r="11" spans="2:13" x14ac:dyDescent="0.3">
      <c r="F11" s="61" t="s">
        <v>108</v>
      </c>
      <c r="G11" s="34" t="s">
        <v>110</v>
      </c>
      <c r="H11" s="32" t="s">
        <v>112</v>
      </c>
    </row>
    <row r="12" spans="2:13" x14ac:dyDescent="0.3">
      <c r="F12" s="68" t="s">
        <v>36</v>
      </c>
      <c r="G12" s="69" t="s">
        <v>111</v>
      </c>
      <c r="H12" s="33" t="s">
        <v>112</v>
      </c>
    </row>
    <row r="16" spans="2:13" ht="18" x14ac:dyDescent="0.3">
      <c r="B16" s="104" t="s">
        <v>105</v>
      </c>
      <c r="C16" s="104"/>
      <c r="D16" s="104"/>
      <c r="E16" s="104"/>
      <c r="F16" s="104"/>
      <c r="G16" s="104"/>
      <c r="H16" s="70"/>
      <c r="I16" s="70"/>
      <c r="J16" s="70"/>
      <c r="K16" s="70"/>
      <c r="L16" s="70"/>
      <c r="M16" s="70"/>
    </row>
    <row r="17" spans="2:13" x14ac:dyDescent="0.3">
      <c r="B17" s="71"/>
      <c r="C17" s="71"/>
      <c r="D17" s="71"/>
      <c r="E17" s="71"/>
      <c r="F17" s="71"/>
      <c r="G17" s="71"/>
      <c r="H17" s="46"/>
      <c r="I17" s="46"/>
      <c r="J17" s="46"/>
      <c r="K17" s="46"/>
      <c r="L17" s="46"/>
      <c r="M17" s="46"/>
    </row>
    <row r="18" spans="2:13" x14ac:dyDescent="0.3">
      <c r="B18" s="28"/>
      <c r="C18" s="167" t="s">
        <v>50</v>
      </c>
      <c r="D18" s="167"/>
      <c r="E18" s="27"/>
      <c r="F18" s="71" t="s">
        <v>51</v>
      </c>
      <c r="G18" s="71"/>
      <c r="H18" s="46"/>
      <c r="I18" s="46"/>
      <c r="J18" s="46"/>
      <c r="K18" s="46"/>
      <c r="L18" s="46"/>
      <c r="M18" s="46"/>
    </row>
    <row r="19" spans="2:13" x14ac:dyDescent="0.3">
      <c r="B19" s="28"/>
      <c r="C19" s="167" t="s">
        <v>113</v>
      </c>
      <c r="D19" s="167"/>
      <c r="E19" s="27"/>
      <c r="F19" s="71" t="s">
        <v>46</v>
      </c>
      <c r="G19" s="71"/>
      <c r="H19" s="46"/>
      <c r="I19" s="46"/>
      <c r="J19" s="46"/>
      <c r="K19" s="46"/>
      <c r="L19" s="46"/>
      <c r="M19" s="46"/>
    </row>
    <row r="20" spans="2:13" x14ac:dyDescent="0.3">
      <c r="B20" s="168"/>
      <c r="C20" s="168"/>
      <c r="D20" s="28"/>
      <c r="E20" s="28"/>
      <c r="F20" s="28"/>
      <c r="G20" s="28"/>
    </row>
    <row r="21" spans="2:13" x14ac:dyDescent="0.3">
      <c r="B21" s="168" t="s">
        <v>114</v>
      </c>
      <c r="C21" s="168"/>
      <c r="D21" s="168"/>
      <c r="E21" s="168"/>
      <c r="F21" s="66" t="e">
        <f>(E18*21.2)/E19^2</f>
        <v>#DIV/0!</v>
      </c>
      <c r="G21" s="28" t="s">
        <v>112</v>
      </c>
    </row>
    <row r="24" spans="2:13" ht="18" x14ac:dyDescent="0.3">
      <c r="B24" s="104" t="s">
        <v>50</v>
      </c>
      <c r="C24" s="104"/>
      <c r="D24" s="104"/>
      <c r="E24" s="104"/>
      <c r="F24" s="104"/>
      <c r="G24" s="104"/>
    </row>
    <row r="25" spans="2:13" x14ac:dyDescent="0.3">
      <c r="B25" s="47"/>
      <c r="C25" s="47"/>
      <c r="D25" s="47"/>
      <c r="E25" s="47"/>
      <c r="F25" s="47"/>
      <c r="G25" s="47"/>
    </row>
    <row r="26" spans="2:13" x14ac:dyDescent="0.3">
      <c r="B26" s="47"/>
      <c r="C26" s="148" t="s">
        <v>115</v>
      </c>
      <c r="D26" s="148"/>
      <c r="E26" s="52"/>
      <c r="F26" s="47" t="s">
        <v>112</v>
      </c>
      <c r="G26" s="47"/>
    </row>
    <row r="27" spans="2:13" x14ac:dyDescent="0.3">
      <c r="B27" s="47"/>
      <c r="C27" s="148" t="s">
        <v>116</v>
      </c>
      <c r="D27" s="148"/>
      <c r="E27" s="52"/>
      <c r="F27" s="47" t="s">
        <v>46</v>
      </c>
      <c r="G27" s="47"/>
    </row>
    <row r="28" spans="2:13" x14ac:dyDescent="0.3">
      <c r="B28" s="47"/>
      <c r="C28" s="47"/>
      <c r="D28" s="47"/>
      <c r="E28" s="47"/>
      <c r="F28" s="47"/>
      <c r="G28" s="47"/>
    </row>
    <row r="29" spans="2:13" x14ac:dyDescent="0.3">
      <c r="B29" s="169" t="s">
        <v>117</v>
      </c>
      <c r="C29" s="169"/>
      <c r="D29" s="169"/>
      <c r="E29" s="169"/>
      <c r="F29" s="56">
        <f>(E26*E27^2)/21.2</f>
        <v>0</v>
      </c>
      <c r="G29" s="47" t="s">
        <v>51</v>
      </c>
    </row>
    <row r="32" spans="2:13" ht="18" x14ac:dyDescent="0.3">
      <c r="B32" s="104" t="s">
        <v>118</v>
      </c>
      <c r="C32" s="104"/>
      <c r="D32" s="104"/>
      <c r="E32" s="104"/>
      <c r="F32" s="104"/>
      <c r="G32" s="104"/>
    </row>
    <row r="33" spans="2:14" x14ac:dyDescent="0.3">
      <c r="B33" s="49"/>
      <c r="C33" s="49"/>
      <c r="D33" s="49"/>
      <c r="E33" s="49"/>
      <c r="F33" s="49"/>
      <c r="G33" s="49"/>
    </row>
    <row r="34" spans="2:14" x14ac:dyDescent="0.3">
      <c r="B34" s="49"/>
      <c r="C34" s="49"/>
      <c r="D34" s="50" t="s">
        <v>50</v>
      </c>
      <c r="E34" s="53"/>
      <c r="F34" s="49" t="s">
        <v>51</v>
      </c>
      <c r="G34" s="49"/>
    </row>
    <row r="35" spans="2:14" x14ac:dyDescent="0.3">
      <c r="B35" s="49"/>
      <c r="C35" s="108" t="s">
        <v>105</v>
      </c>
      <c r="D35" s="108"/>
      <c r="E35" s="53"/>
      <c r="F35" s="49" t="s">
        <v>112</v>
      </c>
      <c r="G35" s="49"/>
    </row>
    <row r="36" spans="2:14" x14ac:dyDescent="0.3">
      <c r="B36" s="49"/>
      <c r="C36" s="49"/>
      <c r="D36" s="49"/>
      <c r="E36" s="49"/>
      <c r="F36" s="49"/>
      <c r="G36" s="49"/>
    </row>
    <row r="37" spans="2:14" x14ac:dyDescent="0.3">
      <c r="B37" s="121" t="s">
        <v>119</v>
      </c>
      <c r="C37" s="121"/>
      <c r="D37" s="121"/>
      <c r="E37" s="121"/>
      <c r="F37" s="55" t="e">
        <f>SQRT((E34*21.2)/E35)</f>
        <v>#DIV/0!</v>
      </c>
      <c r="G37" s="49" t="s">
        <v>46</v>
      </c>
    </row>
    <row r="41" spans="2:14" ht="15" thickBot="1" x14ac:dyDescent="0.35"/>
    <row r="42" spans="2:14" ht="18.600000000000001" thickBot="1" x14ac:dyDescent="0.35">
      <c r="B42" s="165" t="s">
        <v>120</v>
      </c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58"/>
    </row>
    <row r="63" spans="2:14" ht="18" x14ac:dyDescent="0.3">
      <c r="B63" s="170" t="s">
        <v>121</v>
      </c>
      <c r="C63" s="170"/>
      <c r="D63" s="170"/>
      <c r="E63" s="170"/>
      <c r="F63" s="170"/>
      <c r="G63" s="57"/>
      <c r="I63" s="104" t="s">
        <v>126</v>
      </c>
      <c r="J63" s="104"/>
      <c r="K63" s="104"/>
      <c r="L63" s="104"/>
      <c r="M63" s="104"/>
      <c r="N63" s="57"/>
    </row>
    <row r="64" spans="2:14" x14ac:dyDescent="0.3">
      <c r="B64" s="8"/>
      <c r="C64" s="8"/>
      <c r="D64" s="8"/>
      <c r="E64" s="8"/>
      <c r="F64" s="8"/>
      <c r="I64" s="8"/>
      <c r="J64" s="8"/>
      <c r="K64" s="8"/>
      <c r="L64" s="8"/>
      <c r="M64" s="8"/>
    </row>
    <row r="65" spans="2:13" x14ac:dyDescent="0.3">
      <c r="B65" s="8"/>
      <c r="C65" s="105" t="s">
        <v>122</v>
      </c>
      <c r="D65" s="105"/>
      <c r="E65" s="10"/>
      <c r="F65" s="8" t="s">
        <v>112</v>
      </c>
      <c r="I65" s="8"/>
      <c r="J65" s="8" t="s">
        <v>127</v>
      </c>
      <c r="K65" s="8"/>
      <c r="L65" s="10"/>
      <c r="M65" s="8" t="s">
        <v>112</v>
      </c>
    </row>
    <row r="66" spans="2:13" x14ac:dyDescent="0.3">
      <c r="B66" s="8"/>
      <c r="C66" s="105" t="s">
        <v>123</v>
      </c>
      <c r="D66" s="105"/>
      <c r="E66" s="10"/>
      <c r="F66" s="8" t="s">
        <v>131</v>
      </c>
      <c r="I66" s="8"/>
      <c r="J66" s="105" t="s">
        <v>128</v>
      </c>
      <c r="K66" s="105"/>
      <c r="L66" s="10"/>
      <c r="M66" s="8" t="s">
        <v>132</v>
      </c>
    </row>
    <row r="67" spans="2:13" x14ac:dyDescent="0.3">
      <c r="B67" s="8"/>
      <c r="C67" s="105" t="s">
        <v>124</v>
      </c>
      <c r="D67" s="105"/>
      <c r="E67" s="10"/>
      <c r="F67" s="8" t="s">
        <v>132</v>
      </c>
      <c r="I67" s="8"/>
      <c r="J67" s="105" t="s">
        <v>129</v>
      </c>
      <c r="K67" s="105"/>
      <c r="L67" s="10"/>
      <c r="M67" s="8" t="s">
        <v>132</v>
      </c>
    </row>
    <row r="68" spans="2:13" x14ac:dyDescent="0.3">
      <c r="B68" s="8"/>
      <c r="C68" s="8"/>
      <c r="D68" s="8"/>
      <c r="E68" s="8"/>
      <c r="F68" s="8"/>
      <c r="I68" s="8"/>
      <c r="J68" s="8"/>
      <c r="K68" s="8"/>
      <c r="L68" s="8"/>
      <c r="M68" s="8"/>
    </row>
    <row r="69" spans="2:13" x14ac:dyDescent="0.3">
      <c r="B69" s="8" t="s">
        <v>125</v>
      </c>
      <c r="C69" s="8"/>
      <c r="D69" s="8"/>
      <c r="E69" s="54" t="e">
        <f>(E65*E67)/E66</f>
        <v>#DIV/0!</v>
      </c>
      <c r="F69" s="8" t="s">
        <v>112</v>
      </c>
      <c r="I69" s="135" t="s">
        <v>130</v>
      </c>
      <c r="J69" s="135"/>
      <c r="K69" s="135"/>
      <c r="L69" s="54" t="e">
        <f>(L65*L66)/L67</f>
        <v>#DIV/0!</v>
      </c>
      <c r="M69" s="8" t="s">
        <v>112</v>
      </c>
    </row>
    <row r="72" spans="2:13" ht="18" x14ac:dyDescent="0.3">
      <c r="B72" s="104" t="s">
        <v>123</v>
      </c>
      <c r="C72" s="104"/>
      <c r="D72" s="104"/>
      <c r="E72" s="104"/>
      <c r="F72" s="104"/>
      <c r="I72" s="104" t="s">
        <v>124</v>
      </c>
      <c r="J72" s="113"/>
      <c r="K72" s="113"/>
      <c r="L72" s="113"/>
      <c r="M72" s="113"/>
    </row>
    <row r="73" spans="2:13" x14ac:dyDescent="0.3">
      <c r="B73" s="36"/>
      <c r="C73" s="36"/>
      <c r="D73" s="36"/>
      <c r="E73" s="36"/>
      <c r="F73" s="36"/>
      <c r="I73" s="36"/>
      <c r="J73" s="36"/>
      <c r="K73" s="36"/>
      <c r="L73" s="36"/>
      <c r="M73" s="36"/>
    </row>
    <row r="74" spans="2:13" x14ac:dyDescent="0.3">
      <c r="B74" s="36"/>
      <c r="C74" s="161" t="s">
        <v>127</v>
      </c>
      <c r="D74" s="161"/>
      <c r="E74" s="63"/>
      <c r="F74" s="36" t="s">
        <v>112</v>
      </c>
      <c r="I74" s="36"/>
      <c r="J74" s="161" t="s">
        <v>127</v>
      </c>
      <c r="K74" s="161"/>
      <c r="L74" s="63"/>
      <c r="M74" s="36" t="s">
        <v>112</v>
      </c>
    </row>
    <row r="75" spans="2:13" x14ac:dyDescent="0.3">
      <c r="B75" s="36"/>
      <c r="C75" s="161" t="s">
        <v>122</v>
      </c>
      <c r="D75" s="161"/>
      <c r="E75" s="63"/>
      <c r="F75" s="36" t="s">
        <v>112</v>
      </c>
      <c r="I75" s="36"/>
      <c r="J75" s="161" t="s">
        <v>122</v>
      </c>
      <c r="K75" s="161"/>
      <c r="L75" s="63"/>
      <c r="M75" s="36" t="s">
        <v>112</v>
      </c>
    </row>
    <row r="76" spans="2:13" x14ac:dyDescent="0.3">
      <c r="B76" s="36"/>
      <c r="C76" s="161" t="s">
        <v>124</v>
      </c>
      <c r="D76" s="161"/>
      <c r="E76" s="63"/>
      <c r="F76" s="36" t="s">
        <v>132</v>
      </c>
      <c r="I76" s="36"/>
      <c r="J76" s="161" t="s">
        <v>133</v>
      </c>
      <c r="K76" s="161"/>
      <c r="L76" s="63"/>
      <c r="M76" s="36" t="s">
        <v>132</v>
      </c>
    </row>
    <row r="77" spans="2:13" x14ac:dyDescent="0.3">
      <c r="B77" s="36"/>
      <c r="C77" s="36"/>
      <c r="D77" s="36"/>
      <c r="E77" s="36"/>
      <c r="F77" s="36"/>
      <c r="I77" s="36"/>
      <c r="J77" s="36"/>
      <c r="K77" s="36"/>
      <c r="L77" s="36"/>
      <c r="M77" s="36"/>
    </row>
    <row r="78" spans="2:13" x14ac:dyDescent="0.3">
      <c r="B78" s="127" t="s">
        <v>134</v>
      </c>
      <c r="C78" s="127"/>
      <c r="D78" s="127"/>
      <c r="E78" s="62" t="e">
        <f>(E75*E76)/E74</f>
        <v>#DIV/0!</v>
      </c>
      <c r="F78" s="36" t="s">
        <v>132</v>
      </c>
      <c r="I78" s="127" t="s">
        <v>135</v>
      </c>
      <c r="J78" s="127"/>
      <c r="K78" s="127"/>
      <c r="L78" s="62" t="e">
        <f>(L74*L76)/L75</f>
        <v>#DIV/0!</v>
      </c>
      <c r="M78" s="36" t="s">
        <v>132</v>
      </c>
    </row>
    <row r="82" spans="2:14" ht="15" thickBot="1" x14ac:dyDescent="0.35"/>
    <row r="83" spans="2:14" ht="18.600000000000001" thickBot="1" x14ac:dyDescent="0.35">
      <c r="B83" s="165" t="s">
        <v>162</v>
      </c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58"/>
    </row>
    <row r="85" spans="2:14" ht="18" x14ac:dyDescent="0.3">
      <c r="B85" s="104" t="s">
        <v>163</v>
      </c>
      <c r="C85" s="104"/>
      <c r="D85" s="104"/>
      <c r="E85" s="104"/>
      <c r="F85" s="104"/>
    </row>
    <row r="86" spans="2:14" x14ac:dyDescent="0.3">
      <c r="B86" s="20"/>
      <c r="C86" s="20"/>
      <c r="D86" s="20"/>
      <c r="E86" s="20"/>
      <c r="F86" s="20"/>
      <c r="G86" s="20"/>
    </row>
    <row r="87" spans="2:14" x14ac:dyDescent="0.3">
      <c r="B87" s="20"/>
      <c r="C87" s="119" t="s">
        <v>105</v>
      </c>
      <c r="D87" s="119"/>
      <c r="E87" s="23"/>
      <c r="F87" s="20" t="s">
        <v>112</v>
      </c>
      <c r="G87" s="20"/>
    </row>
    <row r="88" spans="2:14" x14ac:dyDescent="0.3">
      <c r="B88" s="20"/>
      <c r="C88" s="119" t="s">
        <v>164</v>
      </c>
      <c r="D88" s="119"/>
      <c r="E88" s="23"/>
      <c r="F88" s="20"/>
      <c r="G88" s="20"/>
    </row>
    <row r="89" spans="2:14" x14ac:dyDescent="0.3">
      <c r="B89" s="20"/>
      <c r="C89" s="119" t="s">
        <v>165</v>
      </c>
      <c r="D89" s="119"/>
      <c r="E89" s="23"/>
      <c r="F89" s="20" t="s">
        <v>166</v>
      </c>
      <c r="G89" s="20"/>
    </row>
    <row r="90" spans="2:14" x14ac:dyDescent="0.3">
      <c r="B90" s="20"/>
      <c r="C90" s="20"/>
      <c r="D90" s="20"/>
      <c r="E90" s="20"/>
      <c r="F90" s="20"/>
      <c r="G90" s="20"/>
    </row>
    <row r="91" spans="2:14" x14ac:dyDescent="0.3">
      <c r="B91" s="120" t="s">
        <v>167</v>
      </c>
      <c r="C91" s="120"/>
      <c r="D91" s="120"/>
      <c r="E91" s="163"/>
      <c r="F91" s="22"/>
      <c r="G91" s="20"/>
    </row>
  </sheetData>
  <mergeCells count="39">
    <mergeCell ref="B78:D78"/>
    <mergeCell ref="I78:K78"/>
    <mergeCell ref="I69:K69"/>
    <mergeCell ref="B63:F63"/>
    <mergeCell ref="I63:M63"/>
    <mergeCell ref="B72:F72"/>
    <mergeCell ref="I72:M72"/>
    <mergeCell ref="C74:D74"/>
    <mergeCell ref="C75:D75"/>
    <mergeCell ref="C76:D76"/>
    <mergeCell ref="J75:K75"/>
    <mergeCell ref="J74:K74"/>
    <mergeCell ref="J76:K76"/>
    <mergeCell ref="C66:D66"/>
    <mergeCell ref="C67:D67"/>
    <mergeCell ref="C65:D65"/>
    <mergeCell ref="J66:K66"/>
    <mergeCell ref="J67:K67"/>
    <mergeCell ref="B29:E29"/>
    <mergeCell ref="B32:G32"/>
    <mergeCell ref="C35:D35"/>
    <mergeCell ref="B37:E37"/>
    <mergeCell ref="B42:M42"/>
    <mergeCell ref="C87:D87"/>
    <mergeCell ref="C88:D88"/>
    <mergeCell ref="C89:D89"/>
    <mergeCell ref="B91:E91"/>
    <mergeCell ref="E4:K5"/>
    <mergeCell ref="F9:H9"/>
    <mergeCell ref="B16:G16"/>
    <mergeCell ref="B83:M83"/>
    <mergeCell ref="B85:F85"/>
    <mergeCell ref="C18:D18"/>
    <mergeCell ref="C19:D19"/>
    <mergeCell ref="B20:C20"/>
    <mergeCell ref="B21:E21"/>
    <mergeCell ref="B24:G24"/>
    <mergeCell ref="C26:D26"/>
    <mergeCell ref="C27:D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Pompes</vt:lpstr>
      <vt:lpstr>Vérins</vt:lpstr>
      <vt:lpstr>Rendements</vt:lpstr>
      <vt:lpstr>Moteurs</vt:lpstr>
      <vt:lpstr>Conduites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Ruchti</dc:creator>
  <cp:lastModifiedBy>Christophe Ruchti</cp:lastModifiedBy>
  <cp:lastPrinted>2023-02-09T20:51:58Z</cp:lastPrinted>
  <dcterms:created xsi:type="dcterms:W3CDTF">2023-02-05T16:48:49Z</dcterms:created>
  <dcterms:modified xsi:type="dcterms:W3CDTF">2023-12-02T11:13:35Z</dcterms:modified>
</cp:coreProperties>
</file>