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ii\Documents\arnaud2\EVER 2012\3EI2024\adequation velo\"/>
    </mc:Choice>
  </mc:AlternateContent>
  <bookViews>
    <workbookView xWindow="0" yWindow="0" windowWidth="28800" windowHeight="123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M21" i="1" s="1"/>
  <c r="J21" i="1"/>
  <c r="L21" i="1" l="1"/>
  <c r="J15" i="1"/>
  <c r="I15" i="1"/>
  <c r="B68" i="1" l="1"/>
  <c r="B69" i="1"/>
  <c r="B70" i="1"/>
  <c r="B71" i="1"/>
  <c r="B67" i="1"/>
  <c r="J57" i="1"/>
  <c r="I57" i="1"/>
  <c r="H57" i="1"/>
  <c r="G57" i="1"/>
  <c r="J56" i="1"/>
  <c r="I56" i="1"/>
  <c r="H56" i="1"/>
  <c r="G56" i="1"/>
  <c r="J55" i="1"/>
  <c r="I55" i="1"/>
  <c r="H55" i="1"/>
  <c r="G55" i="1"/>
  <c r="J54" i="1"/>
  <c r="I54" i="1"/>
  <c r="H54" i="1"/>
  <c r="G54" i="1"/>
  <c r="J53" i="1"/>
  <c r="I53" i="1"/>
  <c r="H53" i="1"/>
  <c r="G53" i="1"/>
  <c r="J52" i="1"/>
  <c r="I52" i="1"/>
  <c r="H52" i="1"/>
  <c r="G52" i="1"/>
  <c r="J51" i="1"/>
  <c r="I51" i="1"/>
  <c r="H51" i="1"/>
  <c r="G51" i="1"/>
  <c r="K3" i="1" l="1"/>
  <c r="J4" i="1" l="1"/>
  <c r="L27" i="1" l="1"/>
  <c r="L30" i="1"/>
  <c r="L29" i="1"/>
  <c r="F29" i="1" s="1"/>
  <c r="G29" i="1" s="1"/>
  <c r="L28" i="1"/>
  <c r="F28" i="1" s="1"/>
  <c r="G28" i="1" s="1"/>
  <c r="B6" i="1"/>
  <c r="B5" i="1"/>
  <c r="B4" i="1"/>
  <c r="M3" i="1" s="1"/>
  <c r="B7" i="1"/>
  <c r="D7" i="1" s="1"/>
  <c r="L3" i="1"/>
  <c r="E30" i="1" s="1"/>
  <c r="F30" i="1" l="1"/>
  <c r="G30" i="1" s="1"/>
  <c r="E27" i="1"/>
  <c r="F27" i="1" s="1"/>
  <c r="G27" i="1" s="1"/>
  <c r="E26" i="1"/>
  <c r="B8" i="1"/>
  <c r="B10" i="1" s="1"/>
  <c r="C7" i="1"/>
  <c r="H27" i="1"/>
  <c r="H28" i="1"/>
  <c r="H29" i="1"/>
  <c r="H30" i="1"/>
  <c r="H26" i="1"/>
  <c r="I27" i="1" l="1"/>
  <c r="F26" i="1"/>
  <c r="G26" i="1" s="1"/>
  <c r="I26" i="1"/>
  <c r="I28" i="1"/>
  <c r="I29" i="1"/>
  <c r="I30" i="1"/>
  <c r="B11" i="1"/>
  <c r="C8" i="1"/>
  <c r="C9" i="1" s="1"/>
  <c r="D8" i="1"/>
  <c r="F7" i="1" s="1"/>
  <c r="B9" i="1"/>
  <c r="D9" i="1" l="1"/>
</calcChain>
</file>

<file path=xl/sharedStrings.xml><?xml version="1.0" encoding="utf-8"?>
<sst xmlns="http://schemas.openxmlformats.org/spreadsheetml/2006/main" count="89" uniqueCount="78">
  <si>
    <t>IUT GEII Soissons</t>
  </si>
  <si>
    <t>power demandée</t>
  </si>
  <si>
    <t>Cr pneu</t>
  </si>
  <si>
    <t>mecanique velo</t>
  </si>
  <si>
    <t>distance (km)</t>
  </si>
  <si>
    <t>bus</t>
  </si>
  <si>
    <t>masse (kg)</t>
  </si>
  <si>
    <t>conso energie w.h/km</t>
  </si>
  <si>
    <t>voiture</t>
  </si>
  <si>
    <t>velo elec</t>
  </si>
  <si>
    <t>velo</t>
  </si>
  <si>
    <t>conso litre/km</t>
  </si>
  <si>
    <t>rapport masse</t>
  </si>
  <si>
    <t>energie (W.h) roulement</t>
  </si>
  <si>
    <t>energie (W.h) denivelé</t>
  </si>
  <si>
    <t xml:space="preserve">energie musculaire (W.h) </t>
  </si>
  <si>
    <t>vitesse (km/h)</t>
  </si>
  <si>
    <t>masse cycliste kg</t>
  </si>
  <si>
    <t>masse kg velo+utilité</t>
  </si>
  <si>
    <t>energie (W.h) aero</t>
  </si>
  <si>
    <t>energie electrique (W.h)</t>
  </si>
  <si>
    <t>prix energie elec €/W.h</t>
  </si>
  <si>
    <t>prix energie humaine €/W.h</t>
  </si>
  <si>
    <t>consommation velo et bilan</t>
  </si>
  <si>
    <t>prix conso €/km</t>
  </si>
  <si>
    <t>bilan totale</t>
  </si>
  <si>
    <t>power musculaire (W)</t>
  </si>
  <si>
    <t>human</t>
  </si>
  <si>
    <t>energie W.h</t>
  </si>
  <si>
    <t>power musculaire pour ne pas avoir de puissance electrique</t>
  </si>
  <si>
    <t>cout avec obsolecence  €/km</t>
  </si>
  <si>
    <t>cout conso  €/km</t>
  </si>
  <si>
    <t>prix vehicule €</t>
  </si>
  <si>
    <t>rapport cout total</t>
  </si>
  <si>
    <t>ordre de grandeur en fonction du type de velo</t>
  </si>
  <si>
    <t>velo droit de ville</t>
  </si>
  <si>
    <t>velo couché</t>
  </si>
  <si>
    <t>montain bike</t>
  </si>
  <si>
    <t>velo mobile</t>
  </si>
  <si>
    <t>velo en position course</t>
  </si>
  <si>
    <t>tricyle</t>
  </si>
  <si>
    <t>masse</t>
  </si>
  <si>
    <t>k roulement W/km/h</t>
  </si>
  <si>
    <t>k aerodyna W/(m/s)^3</t>
  </si>
  <si>
    <t>obsolesence   €/km</t>
  </si>
  <si>
    <t>trottinette</t>
  </si>
  <si>
    <t>rapport cout consom</t>
  </si>
  <si>
    <t>rapport assistance elec (%)</t>
  </si>
  <si>
    <t>autonomie limité à (km)</t>
  </si>
  <si>
    <t>autonomie possible elec</t>
  </si>
  <si>
    <t>conso  W.h/km</t>
  </si>
  <si>
    <t>km</t>
  </si>
  <si>
    <t>capaity battery (W.h)</t>
  </si>
  <si>
    <t>denivelé positif (m) puis pourcentage</t>
  </si>
  <si>
    <t>power à 25km/h sur du plat watt</t>
  </si>
  <si>
    <t>power à 35km/h sur du plat watt</t>
  </si>
  <si>
    <t>power à la vitesse parametrer sur du plat watt</t>
  </si>
  <si>
    <t>power à 45km/h sur du plat watt</t>
  </si>
  <si>
    <t>rendement moteur</t>
  </si>
  <si>
    <t xml:space="preserve">Résistance au roulement </t>
  </si>
  <si>
    <t>pression</t>
  </si>
  <si>
    <t>kaero</t>
  </si>
  <si>
    <t>Cr</t>
  </si>
  <si>
    <t>masse kg)</t>
  </si>
  <si>
    <t>denivelé+ (m)</t>
  </si>
  <si>
    <t>V2 (km/h)</t>
  </si>
  <si>
    <t>V1 (km/h)</t>
  </si>
  <si>
    <t>identification des coeficients d'un velo elec =&gt; aerodynamique et resistif des pneus</t>
  </si>
  <si>
    <t>energyV2 elec (W.h)</t>
  </si>
  <si>
    <t>energyV1 elec (w.h)</t>
  </si>
  <si>
    <t>power muscular (W)</t>
  </si>
  <si>
    <t>identification des coeficients d'un velo =&gt; aerodynamique et resistif des pneus</t>
  </si>
  <si>
    <t>distance2 (km)</t>
  </si>
  <si>
    <t>distance1 (km)</t>
  </si>
  <si>
    <t>denivelé+2 (m)</t>
  </si>
  <si>
    <t>denivelé+1 (m)</t>
  </si>
  <si>
    <t>Power moy2 (W)</t>
  </si>
  <si>
    <t>Power moy1 (W)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</si>
</sst>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0.0000"/>
    <numFmt numFmtId="167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 wrapText="1"/>
    </xf>
    <xf numFmtId="165" fontId="0" fillId="0" borderId="0" xfId="0" applyNumberFormat="1" applyBorder="1"/>
    <xf numFmtId="1" fontId="0" fillId="0" borderId="0" xfId="0" applyNumberFormat="1" applyBorder="1"/>
    <xf numFmtId="0" fontId="0" fillId="4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wrapText="1"/>
    </xf>
    <xf numFmtId="0" fontId="0" fillId="5" borderId="0" xfId="0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1" fillId="9" borderId="0" xfId="0" applyFont="1" applyFill="1" applyAlignment="1">
      <alignment horizontal="center" wrapText="1"/>
    </xf>
    <xf numFmtId="1" fontId="1" fillId="9" borderId="0" xfId="0" applyNumberFormat="1" applyFont="1" applyFill="1" applyAlignment="1">
      <alignment horizontal="center"/>
    </xf>
    <xf numFmtId="0" fontId="1" fillId="8" borderId="0" xfId="0" applyFont="1" applyFill="1" applyAlignment="1">
      <alignment horizontal="center" wrapText="1"/>
    </xf>
    <xf numFmtId="1" fontId="1" fillId="8" borderId="0" xfId="0" applyNumberFormat="1" applyFont="1" applyFill="1" applyAlignment="1">
      <alignment horizontal="center"/>
    </xf>
    <xf numFmtId="0" fontId="0" fillId="7" borderId="1" xfId="0" applyFill="1" applyBorder="1"/>
    <xf numFmtId="0" fontId="0" fillId="11" borderId="0" xfId="0" applyFill="1" applyBorder="1" applyAlignment="1">
      <alignment horizontal="center"/>
    </xf>
    <xf numFmtId="165" fontId="0" fillId="7" borderId="1" xfId="0" applyNumberFormat="1" applyFill="1" applyBorder="1" applyAlignment="1">
      <alignment horizontal="center" wrapText="1"/>
    </xf>
    <xf numFmtId="0" fontId="0" fillId="7" borderId="1" xfId="0" applyFill="1" applyBorder="1" applyAlignment="1">
      <alignment wrapText="1"/>
    </xf>
    <xf numFmtId="0" fontId="0" fillId="7" borderId="0" xfId="0" applyFill="1" applyBorder="1" applyAlignment="1">
      <alignment horizontal="center" wrapText="1"/>
    </xf>
    <xf numFmtId="0" fontId="0" fillId="14" borderId="0" xfId="0" applyFill="1" applyBorder="1" applyAlignment="1">
      <alignment horizontal="center" wrapText="1"/>
    </xf>
    <xf numFmtId="0" fontId="0" fillId="15" borderId="0" xfId="0" applyFill="1" applyBorder="1" applyAlignment="1">
      <alignment horizontal="center" wrapText="1"/>
    </xf>
    <xf numFmtId="2" fontId="0" fillId="15" borderId="0" xfId="0" applyNumberFormat="1" applyFill="1" applyBorder="1" applyAlignment="1">
      <alignment horizontal="center"/>
    </xf>
    <xf numFmtId="166" fontId="0" fillId="14" borderId="0" xfId="0" applyNumberFormat="1" applyFill="1" applyBorder="1" applyAlignment="1">
      <alignment horizontal="center"/>
    </xf>
    <xf numFmtId="164" fontId="0" fillId="14" borderId="0" xfId="0" applyNumberFormat="1" applyFill="1" applyBorder="1" applyAlignment="1">
      <alignment horizontal="center"/>
    </xf>
    <xf numFmtId="0" fontId="0" fillId="16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0" fontId="0" fillId="7" borderId="0" xfId="0" applyFill="1" applyBorder="1" applyAlignment="1">
      <alignment horizontal="center"/>
    </xf>
    <xf numFmtId="1" fontId="0" fillId="16" borderId="0" xfId="0" applyNumberFormat="1" applyFill="1" applyBorder="1" applyAlignment="1">
      <alignment horizontal="center" wrapText="1"/>
    </xf>
    <xf numFmtId="1" fontId="0" fillId="16" borderId="0" xfId="0" applyNumberForma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0" fillId="12" borderId="0" xfId="0" applyFill="1" applyAlignment="1">
      <alignment horizontal="center" wrapText="1"/>
    </xf>
    <xf numFmtId="0" fontId="0" fillId="13" borderId="0" xfId="0" applyFill="1" applyBorder="1"/>
    <xf numFmtId="0" fontId="0" fillId="17" borderId="0" xfId="0" applyFill="1" applyAlignment="1">
      <alignment horizontal="center" wrapText="1"/>
    </xf>
    <xf numFmtId="0" fontId="0" fillId="17" borderId="0" xfId="0" applyFill="1"/>
    <xf numFmtId="0" fontId="0" fillId="18" borderId="0" xfId="0" applyFill="1" applyAlignment="1">
      <alignment wrapText="1"/>
    </xf>
    <xf numFmtId="1" fontId="2" fillId="6" borderId="0" xfId="0" applyNumberFormat="1" applyFont="1" applyFill="1" applyAlignment="1">
      <alignment horizontal="center"/>
    </xf>
    <xf numFmtId="164" fontId="0" fillId="0" borderId="0" xfId="0" applyNumberFormat="1"/>
    <xf numFmtId="164" fontId="0" fillId="18" borderId="0" xfId="0" applyNumberFormat="1" applyFill="1"/>
    <xf numFmtId="3" fontId="0" fillId="17" borderId="0" xfId="0" applyNumberFormat="1" applyFill="1"/>
    <xf numFmtId="0" fontId="0" fillId="18" borderId="1" xfId="0" applyFill="1" applyBorder="1"/>
    <xf numFmtId="1" fontId="0" fillId="2" borderId="2" xfId="0" applyNumberFormat="1" applyFill="1" applyBorder="1" applyAlignment="1">
      <alignment horizontal="center"/>
    </xf>
    <xf numFmtId="165" fontId="0" fillId="14" borderId="1" xfId="0" applyNumberFormat="1" applyFill="1" applyBorder="1" applyAlignment="1">
      <alignment wrapText="1"/>
    </xf>
    <xf numFmtId="1" fontId="0" fillId="14" borderId="1" xfId="0" applyNumberFormat="1" applyFill="1" applyBorder="1"/>
    <xf numFmtId="0" fontId="0" fillId="19" borderId="0" xfId="0" applyFill="1" applyBorder="1" applyAlignment="1">
      <alignment horizontal="center"/>
    </xf>
    <xf numFmtId="1" fontId="0" fillId="19" borderId="0" xfId="0" applyNumberFormat="1" applyFill="1" applyBorder="1" applyAlignment="1">
      <alignment horizontal="center"/>
    </xf>
    <xf numFmtId="164" fontId="0" fillId="19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/>
    </xf>
    <xf numFmtId="0" fontId="0" fillId="14" borderId="1" xfId="0" applyFill="1" applyBorder="1" applyAlignment="1">
      <alignment horizontal="center" wrapText="1"/>
    </xf>
    <xf numFmtId="0" fontId="0" fillId="14" borderId="1" xfId="0" applyFill="1" applyBorder="1"/>
    <xf numFmtId="165" fontId="0" fillId="14" borderId="0" xfId="0" applyNumberFormat="1" applyFill="1" applyBorder="1" applyAlignment="1">
      <alignment horizontal="center" wrapText="1"/>
    </xf>
    <xf numFmtId="0" fontId="0" fillId="12" borderId="1" xfId="0" applyFill="1" applyBorder="1" applyAlignment="1">
      <alignment horizontal="center" wrapText="1"/>
    </xf>
    <xf numFmtId="0" fontId="0" fillId="12" borderId="2" xfId="0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0" fillId="12" borderId="0" xfId="0" applyFill="1"/>
    <xf numFmtId="0" fontId="0" fillId="12" borderId="1" xfId="0" applyFill="1" applyBorder="1" applyAlignment="1">
      <alignment horizontal="center"/>
    </xf>
    <xf numFmtId="0" fontId="0" fillId="12" borderId="2" xfId="0" applyFill="1" applyBorder="1"/>
    <xf numFmtId="165" fontId="0" fillId="8" borderId="0" xfId="0" applyNumberForma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0" fillId="2" borderId="0" xfId="0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8" borderId="0" xfId="0" applyNumberFormat="1" applyFill="1" applyBorder="1" applyAlignment="1">
      <alignment horizontal="center"/>
    </xf>
    <xf numFmtId="0" fontId="0" fillId="8" borderId="0" xfId="0" applyFill="1" applyBorder="1"/>
    <xf numFmtId="165" fontId="0" fillId="6" borderId="0" xfId="0" applyNumberFormat="1" applyFill="1" applyBorder="1"/>
    <xf numFmtId="1" fontId="0" fillId="2" borderId="0" xfId="0" applyNumberFormat="1" applyFill="1" applyBorder="1" applyAlignment="1">
      <alignment horizontal="center" wrapText="1"/>
    </xf>
    <xf numFmtId="165" fontId="0" fillId="2" borderId="0" xfId="0" applyNumberFormat="1" applyFill="1" applyBorder="1" applyAlignment="1">
      <alignment horizontal="center" wrapText="1"/>
    </xf>
    <xf numFmtId="167" fontId="0" fillId="6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18" borderId="5" xfId="0" applyFill="1" applyBorder="1" applyAlignment="1">
      <alignment horizontal="center"/>
    </xf>
    <xf numFmtId="0" fontId="0" fillId="18" borderId="6" xfId="0" applyFill="1" applyBorder="1" applyAlignment="1">
      <alignment horizontal="center"/>
    </xf>
    <xf numFmtId="0" fontId="0" fillId="18" borderId="3" xfId="0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165" fontId="0" fillId="0" borderId="0" xfId="0" applyNumberFormat="1" applyFill="1" applyBorder="1"/>
    <xf numFmtId="1" fontId="0" fillId="3" borderId="0" xfId="0" applyNumberFormat="1" applyFill="1" applyBorder="1" applyAlignment="1">
      <alignment horizontal="center" wrapText="1"/>
    </xf>
    <xf numFmtId="1" fontId="0" fillId="3" borderId="0" xfId="0" applyNumberFormat="1" applyFill="1" applyBorder="1" applyAlignment="1">
      <alignment horizontal="center"/>
    </xf>
    <xf numFmtId="165" fontId="0" fillId="6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rapport cout total </a:t>
            </a:r>
          </a:p>
        </c:rich>
      </c:tx>
      <c:layout>
        <c:manualLayout>
          <c:xMode val="edge"/>
          <c:yMode val="edge"/>
          <c:x val="0.1658611111111111"/>
          <c:y val="0.23611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1914260717410323E-2"/>
          <c:y val="7.6346381969157787E-2"/>
          <c:w val="0.87753018372703417"/>
          <c:h val="0.8135788008705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Feuil1!$G$25</c:f>
              <c:strCache>
                <c:ptCount val="1"/>
                <c:pt idx="0">
                  <c:v>rapport cout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Feuil1!$A$26:$A$30</c:f>
              <c:strCache>
                <c:ptCount val="5"/>
                <c:pt idx="0">
                  <c:v>bus</c:v>
                </c:pt>
                <c:pt idx="1">
                  <c:v>voiture</c:v>
                </c:pt>
                <c:pt idx="2">
                  <c:v>velo elec</c:v>
                </c:pt>
                <c:pt idx="3">
                  <c:v>velo</c:v>
                </c:pt>
                <c:pt idx="4">
                  <c:v>trottinette</c:v>
                </c:pt>
              </c:strCache>
            </c:strRef>
          </c:cat>
          <c:val>
            <c:numRef>
              <c:f>Feuil1!$G$26:$G$30</c:f>
              <c:numCache>
                <c:formatCode>0</c:formatCode>
                <c:ptCount val="5"/>
                <c:pt idx="0">
                  <c:v>1</c:v>
                </c:pt>
                <c:pt idx="1">
                  <c:v>18.142857142857139</c:v>
                </c:pt>
                <c:pt idx="2">
                  <c:v>119.81132075471697</c:v>
                </c:pt>
                <c:pt idx="3">
                  <c:v>137.0503597122302</c:v>
                </c:pt>
                <c:pt idx="4">
                  <c:v>933.82352941176464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B-425D-A30E-9EE7CD094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1766447"/>
        <c:axId val="1511771023"/>
      </c:barChart>
      <c:catAx>
        <c:axId val="151176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11771023"/>
        <c:crosses val="autoZero"/>
        <c:auto val="1"/>
        <c:lblAlgn val="ctr"/>
        <c:lblOffset val="100"/>
        <c:noMultiLvlLbl val="0"/>
      </c:catAx>
      <c:valAx>
        <c:axId val="1511771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1176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36388888888889"/>
          <c:y val="7.9527372245729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1914260717410323E-2"/>
          <c:y val="7.6346381969157787E-2"/>
          <c:w val="0.87753018372703417"/>
          <c:h val="0.8135788008705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Feuil1!$I$25</c:f>
              <c:strCache>
                <c:ptCount val="1"/>
                <c:pt idx="0">
                  <c:v>rapport cout consom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Feuil1!$A$26:$A$30</c:f>
              <c:strCache>
                <c:ptCount val="5"/>
                <c:pt idx="0">
                  <c:v>bus</c:v>
                </c:pt>
                <c:pt idx="1">
                  <c:v>voiture</c:v>
                </c:pt>
                <c:pt idx="2">
                  <c:v>velo elec</c:v>
                </c:pt>
                <c:pt idx="3">
                  <c:v>velo</c:v>
                </c:pt>
                <c:pt idx="4">
                  <c:v>trottinette</c:v>
                </c:pt>
              </c:strCache>
            </c:strRef>
          </c:cat>
          <c:val>
            <c:numRef>
              <c:f>Feuil1!$I$26:$I$30</c:f>
              <c:numCache>
                <c:formatCode>0</c:formatCode>
                <c:ptCount val="5"/>
                <c:pt idx="0">
                  <c:v>1</c:v>
                </c:pt>
                <c:pt idx="1">
                  <c:v>11.666666666666666</c:v>
                </c:pt>
                <c:pt idx="2">
                  <c:v>26.923076923076927</c:v>
                </c:pt>
                <c:pt idx="3">
                  <c:v>10.606060606060607</c:v>
                </c:pt>
                <c:pt idx="4">
                  <c:v>125.00000000000001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4-4224-8118-4CC58369B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1766447"/>
        <c:axId val="1511771023"/>
      </c:barChart>
      <c:catAx>
        <c:axId val="151176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11771023"/>
        <c:crosses val="autoZero"/>
        <c:auto val="1"/>
        <c:lblAlgn val="ctr"/>
        <c:lblOffset val="100"/>
        <c:noMultiLvlLbl val="0"/>
      </c:catAx>
      <c:valAx>
        <c:axId val="1511771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1176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bilan energie</a:t>
            </a:r>
            <a:r>
              <a:rPr lang="fr-FR" baseline="0"/>
              <a:t> velo droit à la vitesse ?</a:t>
            </a:r>
            <a:endParaRPr lang="fr-FR"/>
          </a:p>
        </c:rich>
      </c:tx>
      <c:layout>
        <c:manualLayout>
          <c:xMode val="edge"/>
          <c:yMode val="edge"/>
          <c:x val="0.12770253145525384"/>
          <c:y val="0.154344128036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0451005408284695E-2"/>
          <c:y val="2.4854070660522285E-2"/>
          <c:w val="0.90772684510999135"/>
          <c:h val="0.852258064516129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Feuil1!$A$4:$A$8</c:f>
              <c:strCache>
                <c:ptCount val="5"/>
                <c:pt idx="0">
                  <c:v>energie (W.h) aero</c:v>
                </c:pt>
                <c:pt idx="1">
                  <c:v>energie (W.h) roulement</c:v>
                </c:pt>
                <c:pt idx="2">
                  <c:v>energie (W.h) denivelé</c:v>
                </c:pt>
                <c:pt idx="3">
                  <c:v>energie musculaire (W.h) </c:v>
                </c:pt>
                <c:pt idx="4">
                  <c:v>energie electrique (W.h)</c:v>
                </c:pt>
              </c:strCache>
            </c:strRef>
          </c:cat>
          <c:val>
            <c:numRef>
              <c:f>Feuil1!$B$4:$B$8</c:f>
              <c:numCache>
                <c:formatCode>0</c:formatCode>
                <c:ptCount val="5"/>
                <c:pt idx="0">
                  <c:v>-625.5894204389574</c:v>
                </c:pt>
                <c:pt idx="1">
                  <c:v>-200.08333333333334</c:v>
                </c:pt>
                <c:pt idx="2">
                  <c:v>-285.83333333333331</c:v>
                </c:pt>
                <c:pt idx="3">
                  <c:v>400</c:v>
                </c:pt>
                <c:pt idx="4">
                  <c:v>711.50608710562415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7-407F-B4DD-8111BA9A2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2011663"/>
        <c:axId val="1022014991"/>
      </c:barChart>
      <c:catAx>
        <c:axId val="1022011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2014991"/>
        <c:crosses val="autoZero"/>
        <c:auto val="1"/>
        <c:lblAlgn val="ctr"/>
        <c:lblOffset val="100"/>
        <c:noMultiLvlLbl val="0"/>
      </c:catAx>
      <c:valAx>
        <c:axId val="102201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2011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5</xdr:col>
      <xdr:colOff>742950</xdr:colOff>
      <xdr:row>44</xdr:row>
      <xdr:rowOff>104775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30</xdr:row>
      <xdr:rowOff>85725</xdr:rowOff>
    </xdr:from>
    <xdr:to>
      <xdr:col>12</xdr:col>
      <xdr:colOff>76200</xdr:colOff>
      <xdr:row>44</xdr:row>
      <xdr:rowOff>95250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104774</xdr:colOff>
      <xdr:row>0</xdr:row>
      <xdr:rowOff>9525</xdr:rowOff>
    </xdr:from>
    <xdr:to>
      <xdr:col>22</xdr:col>
      <xdr:colOff>590549</xdr:colOff>
      <xdr:row>11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workbookViewId="0">
      <selection activeCell="M10" sqref="M10"/>
    </sheetView>
  </sheetViews>
  <sheetFormatPr baseColWidth="10" defaultRowHeight="15" x14ac:dyDescent="0.25"/>
  <cols>
    <col min="1" max="1" width="23.5703125" customWidth="1"/>
    <col min="2" max="2" width="7.5703125" customWidth="1"/>
    <col min="3" max="3" width="9.42578125" customWidth="1"/>
    <col min="4" max="4" width="8.7109375" customWidth="1"/>
    <col min="5" max="5" width="9.140625" customWidth="1"/>
    <col min="6" max="6" width="14" customWidth="1"/>
    <col min="7" max="7" width="10.85546875" customWidth="1"/>
    <col min="8" max="8" width="9.85546875" customWidth="1"/>
    <col min="10" max="10" width="12.5703125" customWidth="1"/>
    <col min="13" max="13" width="19.42578125" bestFit="1" customWidth="1"/>
    <col min="14" max="14" width="7.140625" customWidth="1"/>
    <col min="15" max="15" width="7.5703125" customWidth="1"/>
  </cols>
  <sheetData>
    <row r="1" spans="1:15" x14ac:dyDescent="0.25">
      <c r="A1" t="s">
        <v>0</v>
      </c>
      <c r="C1" s="1" t="s">
        <v>3</v>
      </c>
      <c r="D1" s="1"/>
      <c r="E1" s="1"/>
      <c r="F1" s="1"/>
      <c r="G1" t="s">
        <v>27</v>
      </c>
      <c r="H1" s="67" t="s">
        <v>1</v>
      </c>
      <c r="I1" s="67"/>
      <c r="J1" s="67"/>
      <c r="M1" s="11"/>
    </row>
    <row r="2" spans="1:15" ht="90" x14ac:dyDescent="0.25">
      <c r="A2" s="38" t="s">
        <v>23</v>
      </c>
      <c r="B2" s="37" t="s">
        <v>28</v>
      </c>
      <c r="C2" s="2" t="s">
        <v>16</v>
      </c>
      <c r="D2" s="2" t="s">
        <v>4</v>
      </c>
      <c r="E2" s="2" t="s">
        <v>17</v>
      </c>
      <c r="F2" s="2" t="s">
        <v>18</v>
      </c>
      <c r="G2" s="8" t="s">
        <v>26</v>
      </c>
      <c r="H2" s="68" t="s">
        <v>2</v>
      </c>
      <c r="I2" s="64" t="s">
        <v>43</v>
      </c>
      <c r="J2" s="64" t="s">
        <v>53</v>
      </c>
      <c r="K2" s="29" t="s">
        <v>22</v>
      </c>
      <c r="L2" s="30" t="s">
        <v>21</v>
      </c>
      <c r="M2" s="59" t="s">
        <v>29</v>
      </c>
      <c r="N2" s="61" t="s">
        <v>52</v>
      </c>
      <c r="O2" s="17" t="s">
        <v>58</v>
      </c>
    </row>
    <row r="3" spans="1:15" x14ac:dyDescent="0.25">
      <c r="A3" s="42"/>
      <c r="B3" s="42"/>
      <c r="C3" s="53">
        <v>25</v>
      </c>
      <c r="D3" s="9">
        <v>100</v>
      </c>
      <c r="E3" s="9">
        <v>80</v>
      </c>
      <c r="F3" s="9">
        <v>25</v>
      </c>
      <c r="G3" s="10">
        <v>100</v>
      </c>
      <c r="H3" s="69">
        <v>7.0000000000000001E-3</v>
      </c>
      <c r="I3" s="69">
        <v>0.46700000000000003</v>
      </c>
      <c r="J3" s="65">
        <v>1000</v>
      </c>
      <c r="K3" s="27">
        <f>1.5/500</f>
        <v>3.0000000000000001E-3</v>
      </c>
      <c r="L3" s="27">
        <f>0.2/1000</f>
        <v>2.0000000000000001E-4</v>
      </c>
      <c r="M3" s="60">
        <f>-SUM(B3:B6)*C3/D3</f>
        <v>277.87652177640604</v>
      </c>
      <c r="N3" s="62">
        <v>500</v>
      </c>
      <c r="O3">
        <v>0.8</v>
      </c>
    </row>
    <row r="4" spans="1:15" x14ac:dyDescent="0.25">
      <c r="A4" s="31" t="s">
        <v>19</v>
      </c>
      <c r="B4" s="40">
        <f>-(I3*C3^2/3.6^3)*D3</f>
        <v>-625.5894204389574</v>
      </c>
      <c r="C4" s="11"/>
      <c r="D4" s="11"/>
      <c r="E4" s="11"/>
      <c r="F4" s="11"/>
      <c r="G4" s="11"/>
      <c r="H4" s="4"/>
      <c r="I4" s="4"/>
      <c r="J4" s="66">
        <f>J3/(D3*10)</f>
        <v>1</v>
      </c>
      <c r="K4" s="4"/>
      <c r="L4" s="4"/>
    </row>
    <row r="5" spans="1:15" x14ac:dyDescent="0.25">
      <c r="A5" s="31" t="s">
        <v>13</v>
      </c>
      <c r="B5" s="40">
        <f>-(H3*9.8*(E3+F3)/3.6)*D3</f>
        <v>-200.08333333333334</v>
      </c>
      <c r="C5" s="12"/>
      <c r="D5" s="12"/>
      <c r="E5" s="12"/>
      <c r="F5" s="12"/>
      <c r="G5" s="14"/>
      <c r="H5" s="4"/>
      <c r="I5" s="4"/>
      <c r="J5" s="5"/>
      <c r="K5" s="5"/>
      <c r="L5" s="4"/>
    </row>
    <row r="6" spans="1:15" ht="45" x14ac:dyDescent="0.25">
      <c r="A6" s="39" t="s">
        <v>14</v>
      </c>
      <c r="B6" s="41">
        <f>-J3*9.8*(E3+F3)/3600</f>
        <v>-285.83333333333331</v>
      </c>
      <c r="C6" s="32" t="s">
        <v>24</v>
      </c>
      <c r="D6" s="33" t="s">
        <v>50</v>
      </c>
      <c r="E6" s="14"/>
      <c r="F6" s="63" t="s">
        <v>49</v>
      </c>
      <c r="G6" s="11"/>
      <c r="H6" s="4"/>
      <c r="I6" s="4"/>
      <c r="J6" s="6"/>
      <c r="K6" s="7"/>
      <c r="L6" s="4"/>
    </row>
    <row r="7" spans="1:15" x14ac:dyDescent="0.25">
      <c r="A7" s="39" t="s">
        <v>15</v>
      </c>
      <c r="B7" s="41">
        <f>G3*D3/C3</f>
        <v>400</v>
      </c>
      <c r="C7" s="36">
        <f>B7*K3/D3</f>
        <v>1.2E-2</v>
      </c>
      <c r="D7" s="34">
        <f>B7/D3</f>
        <v>4</v>
      </c>
      <c r="E7" s="14"/>
      <c r="F7" s="70">
        <f>(N3*O3)/D8</f>
        <v>56.21877412562732</v>
      </c>
      <c r="G7" s="71" t="s">
        <v>51</v>
      </c>
      <c r="H7" s="4"/>
      <c r="I7" s="4"/>
      <c r="J7" s="6"/>
      <c r="K7" s="7"/>
      <c r="L7" s="4"/>
    </row>
    <row r="8" spans="1:15" x14ac:dyDescent="0.25">
      <c r="A8" s="39" t="s">
        <v>20</v>
      </c>
      <c r="B8" s="41">
        <f>-SUM(B3:B7)</f>
        <v>711.50608710562415</v>
      </c>
      <c r="C8" s="35">
        <f>B8*L3/D3</f>
        <v>1.4230121742112483E-3</v>
      </c>
      <c r="D8" s="34">
        <f>B8/D3</f>
        <v>7.1150608710562411</v>
      </c>
      <c r="F8" s="14"/>
      <c r="H8" s="4"/>
      <c r="I8" s="4"/>
      <c r="J8" s="6"/>
      <c r="K8" s="7"/>
      <c r="L8" s="4"/>
    </row>
    <row r="9" spans="1:15" x14ac:dyDescent="0.25">
      <c r="A9" s="56" t="s">
        <v>25</v>
      </c>
      <c r="B9" s="57">
        <f>SUM(B4:B8)</f>
        <v>0</v>
      </c>
      <c r="C9" s="58">
        <f>SUM(C7:C8)</f>
        <v>1.3423012174211248E-2</v>
      </c>
      <c r="D9" s="57">
        <f>SUM(D7:D8)</f>
        <v>11.11506087105624</v>
      </c>
      <c r="E9" s="14"/>
      <c r="F9" s="14"/>
      <c r="G9" s="11"/>
      <c r="H9" s="4"/>
      <c r="I9" s="4"/>
      <c r="J9" s="6"/>
      <c r="K9" s="7"/>
      <c r="L9" s="4"/>
    </row>
    <row r="10" spans="1:15" x14ac:dyDescent="0.25">
      <c r="A10" s="11" t="s">
        <v>48</v>
      </c>
      <c r="B10" s="13">
        <f>IF(B8&gt;(N3*O3),D3*N3*O3/B8,"possible")</f>
        <v>56.21877412562732</v>
      </c>
      <c r="C10" s="14"/>
      <c r="D10" s="15"/>
      <c r="E10" s="14"/>
      <c r="F10" s="14"/>
      <c r="G10" s="11"/>
      <c r="H10" s="4"/>
      <c r="I10" s="4"/>
      <c r="J10" s="6"/>
      <c r="K10" s="7"/>
      <c r="L10" s="4"/>
    </row>
    <row r="11" spans="1:15" x14ac:dyDescent="0.25">
      <c r="A11" s="11" t="s">
        <v>47</v>
      </c>
      <c r="B11" s="15">
        <f>(B8/B7)*100</f>
        <v>177.87652177640604</v>
      </c>
      <c r="C11" s="14"/>
      <c r="D11" s="15"/>
      <c r="E11" s="14"/>
      <c r="F11" s="14"/>
      <c r="G11" s="11"/>
      <c r="H11" s="4"/>
      <c r="I11" s="4"/>
      <c r="J11" s="6"/>
      <c r="K11" s="7"/>
      <c r="L11" s="4"/>
    </row>
    <row r="12" spans="1:15" x14ac:dyDescent="0.25">
      <c r="A12" s="72"/>
      <c r="B12" s="15"/>
      <c r="C12" s="14"/>
      <c r="D12" s="15"/>
      <c r="E12" s="14"/>
      <c r="F12" s="14"/>
      <c r="G12" s="72"/>
      <c r="H12" s="4"/>
      <c r="I12" s="4"/>
      <c r="J12" s="6"/>
      <c r="K12" s="7"/>
      <c r="L12" s="4"/>
    </row>
    <row r="13" spans="1:15" x14ac:dyDescent="0.25">
      <c r="A13" s="83" t="s">
        <v>67</v>
      </c>
      <c r="B13" s="15"/>
      <c r="C13" s="14"/>
      <c r="D13" s="15"/>
      <c r="E13" s="14"/>
      <c r="F13" s="14"/>
      <c r="G13" s="72"/>
      <c r="H13" s="4"/>
      <c r="I13" s="4"/>
      <c r="J13" s="6"/>
      <c r="K13" s="7"/>
      <c r="L13" s="4"/>
    </row>
    <row r="14" spans="1:15" ht="45" x14ac:dyDescent="0.25">
      <c r="A14" s="75" t="s">
        <v>63</v>
      </c>
      <c r="B14" s="80" t="s">
        <v>4</v>
      </c>
      <c r="C14" s="80" t="s">
        <v>70</v>
      </c>
      <c r="D14" s="81" t="s">
        <v>64</v>
      </c>
      <c r="E14" s="76" t="s">
        <v>65</v>
      </c>
      <c r="F14" s="76" t="s">
        <v>66</v>
      </c>
      <c r="G14" s="80" t="s">
        <v>68</v>
      </c>
      <c r="H14" s="80" t="s">
        <v>69</v>
      </c>
      <c r="I14" s="77" t="s">
        <v>61</v>
      </c>
      <c r="J14" s="79" t="s">
        <v>62</v>
      </c>
      <c r="K14" s="7"/>
      <c r="L14" s="4"/>
    </row>
    <row r="15" spans="1:15" x14ac:dyDescent="0.25">
      <c r="A15" s="75">
        <v>105</v>
      </c>
      <c r="B15" s="76">
        <v>100</v>
      </c>
      <c r="C15" s="76">
        <v>100</v>
      </c>
      <c r="D15" s="76">
        <v>1000</v>
      </c>
      <c r="E15" s="76">
        <v>35</v>
      </c>
      <c r="F15" s="76">
        <v>15</v>
      </c>
      <c r="G15" s="76">
        <v>1427</v>
      </c>
      <c r="H15" s="76">
        <v>44</v>
      </c>
      <c r="I15" s="78">
        <f>3.6^3*(B15*C15*(E15-F15)+(H15-G15)*E15*F15)/(B15*E15*F15*(F15^2-E15^2))</f>
        <v>0.4675153371428572</v>
      </c>
      <c r="J15" s="82">
        <f>(3.6*(E15^3-F15^3)*B15*C15+3.6*E15*F15*(E15^2*H15-F15^2*G15))/(B15*E15*F15*(E15^2-F15^2)*A15*9.8)-(D15/(100*B15*9.8))</f>
        <v>6.7710537276134911E-3</v>
      </c>
      <c r="K15" s="7"/>
      <c r="L15" s="4"/>
    </row>
    <row r="16" spans="1:15" x14ac:dyDescent="0.25">
      <c r="A16" s="72"/>
      <c r="B16" s="15"/>
      <c r="C16" s="14"/>
      <c r="D16" s="15"/>
      <c r="E16" s="14"/>
      <c r="F16" s="14"/>
      <c r="G16" s="72"/>
      <c r="H16" s="4"/>
      <c r="I16" s="4"/>
      <c r="J16" s="6"/>
      <c r="K16" s="7"/>
      <c r="L16" s="4"/>
    </row>
    <row r="17" spans="1:13" x14ac:dyDescent="0.25">
      <c r="A17" s="72"/>
      <c r="B17" s="15"/>
      <c r="C17" s="14"/>
      <c r="D17" s="15"/>
      <c r="E17" s="14"/>
      <c r="F17" s="14"/>
      <c r="G17" s="72"/>
      <c r="H17" s="4"/>
      <c r="I17" s="4"/>
      <c r="J17" s="6"/>
      <c r="K17" s="7"/>
      <c r="L17" s="4"/>
    </row>
    <row r="18" spans="1:13" x14ac:dyDescent="0.25">
      <c r="A18" s="72"/>
      <c r="B18" s="15"/>
      <c r="C18" s="14"/>
      <c r="D18" s="15"/>
      <c r="E18" s="14"/>
      <c r="F18" s="14"/>
      <c r="G18" s="72"/>
      <c r="H18" s="4"/>
      <c r="I18" s="4"/>
      <c r="J18" s="6"/>
      <c r="K18" s="7"/>
      <c r="L18" s="4"/>
    </row>
    <row r="19" spans="1:13" x14ac:dyDescent="0.25">
      <c r="A19" s="83" t="s">
        <v>71</v>
      </c>
      <c r="B19" s="15"/>
      <c r="C19" s="14"/>
      <c r="D19" s="15"/>
      <c r="E19" s="14"/>
      <c r="F19" s="14"/>
      <c r="G19" s="72"/>
      <c r="H19" s="4"/>
      <c r="I19" s="4"/>
      <c r="J19" s="6"/>
      <c r="K19" s="7"/>
      <c r="L19" s="4"/>
    </row>
    <row r="20" spans="1:13" ht="45" x14ac:dyDescent="0.25">
      <c r="A20" s="75" t="s">
        <v>63</v>
      </c>
      <c r="B20" s="80" t="s">
        <v>72</v>
      </c>
      <c r="C20" s="80" t="s">
        <v>73</v>
      </c>
      <c r="D20" s="81" t="s">
        <v>74</v>
      </c>
      <c r="E20" s="81" t="s">
        <v>75</v>
      </c>
      <c r="F20" s="76" t="s">
        <v>65</v>
      </c>
      <c r="G20" s="76" t="s">
        <v>66</v>
      </c>
      <c r="H20" s="80" t="s">
        <v>76</v>
      </c>
      <c r="I20" s="80" t="s">
        <v>77</v>
      </c>
      <c r="J20" s="89" t="s">
        <v>68</v>
      </c>
      <c r="K20" s="89" t="s">
        <v>69</v>
      </c>
      <c r="L20" s="77" t="s">
        <v>61</v>
      </c>
      <c r="M20" s="91" t="s">
        <v>62</v>
      </c>
    </row>
    <row r="21" spans="1:13" x14ac:dyDescent="0.25">
      <c r="A21" s="75">
        <v>105</v>
      </c>
      <c r="B21" s="76">
        <v>100</v>
      </c>
      <c r="C21" s="76">
        <v>10</v>
      </c>
      <c r="D21" s="76">
        <v>1000</v>
      </c>
      <c r="E21" s="76">
        <v>100</v>
      </c>
      <c r="F21" s="76">
        <v>35</v>
      </c>
      <c r="G21" s="76">
        <v>15</v>
      </c>
      <c r="H21" s="76">
        <v>600</v>
      </c>
      <c r="I21" s="76">
        <v>106</v>
      </c>
      <c r="J21" s="90">
        <f>H21*B21/F21</f>
        <v>1714.2857142857142</v>
      </c>
      <c r="K21" s="90">
        <f>I21*C21/G21</f>
        <v>70.666666666666671</v>
      </c>
      <c r="L21" s="78">
        <f>(3.6^3*(K21*3600*B21-C21*J21*3600+A21*9.8*(D21*C21-E21*B21))/(B21*C21*3600*(G21^2-F21^2)))</f>
        <v>0.47011474285714278</v>
      </c>
      <c r="M21" s="82">
        <f>3.6*(C21*J21*3600*G21^2-F21^2*B21*K21*3600+A21*9.8*(F21^2*B21*E21-D21*C21*G21^2))/(B21*C21*3600*(G21^2-F21^2)*A21*9.8)</f>
        <v>6.7913369429404473E-3</v>
      </c>
    </row>
    <row r="22" spans="1:13" x14ac:dyDescent="0.25">
      <c r="A22" s="72"/>
      <c r="B22" s="15"/>
      <c r="C22" s="14"/>
      <c r="D22" s="15"/>
      <c r="E22" s="14"/>
      <c r="F22" s="14"/>
      <c r="G22" s="72"/>
      <c r="H22" s="4"/>
      <c r="I22" s="16"/>
      <c r="J22" s="88"/>
      <c r="K22" s="7"/>
      <c r="L22" s="4"/>
    </row>
    <row r="23" spans="1:13" x14ac:dyDescent="0.25">
      <c r="A23" s="72"/>
      <c r="B23" s="15"/>
      <c r="C23" s="14"/>
      <c r="D23" s="15"/>
      <c r="E23" s="14"/>
      <c r="F23" s="14"/>
      <c r="G23" s="72"/>
      <c r="H23" s="4"/>
      <c r="I23" s="4"/>
      <c r="J23" s="6"/>
      <c r="K23" s="7"/>
      <c r="L23" s="4"/>
    </row>
    <row r="24" spans="1:13" x14ac:dyDescent="0.25">
      <c r="H24" s="4"/>
      <c r="I24" s="4"/>
      <c r="J24" s="4"/>
      <c r="K24" s="44"/>
      <c r="L24" s="4"/>
    </row>
    <row r="25" spans="1:13" ht="45" x14ac:dyDescent="0.25">
      <c r="A25" s="17"/>
      <c r="B25" s="18" t="s">
        <v>6</v>
      </c>
      <c r="C25" s="19" t="s">
        <v>11</v>
      </c>
      <c r="D25" s="20" t="s">
        <v>7</v>
      </c>
      <c r="E25" s="21" t="s">
        <v>31</v>
      </c>
      <c r="F25" s="43" t="s">
        <v>30</v>
      </c>
      <c r="G25" s="22" t="s">
        <v>33</v>
      </c>
      <c r="H25" s="23" t="s">
        <v>12</v>
      </c>
      <c r="I25" s="25" t="s">
        <v>46</v>
      </c>
      <c r="K25" s="45" t="s">
        <v>32</v>
      </c>
      <c r="L25" s="47" t="s">
        <v>44</v>
      </c>
    </row>
    <row r="26" spans="1:13" x14ac:dyDescent="0.25">
      <c r="A26" s="1" t="s">
        <v>5</v>
      </c>
      <c r="B26">
        <v>11000</v>
      </c>
      <c r="C26">
        <v>0.3</v>
      </c>
      <c r="D26">
        <v>1750</v>
      </c>
      <c r="E26">
        <f>D26*$L$3</f>
        <v>0.35000000000000003</v>
      </c>
      <c r="F26" s="49">
        <f>E26+L26</f>
        <v>6.35</v>
      </c>
      <c r="G26" s="48">
        <f>6.35/F26</f>
        <v>1</v>
      </c>
      <c r="H26" s="24">
        <f>11000/B26</f>
        <v>1</v>
      </c>
      <c r="I26" s="26">
        <f>$E$26/E26</f>
        <v>1</v>
      </c>
      <c r="K26" s="51">
        <v>200000</v>
      </c>
      <c r="L26" s="50">
        <v>6</v>
      </c>
    </row>
    <row r="27" spans="1:13" x14ac:dyDescent="0.25">
      <c r="A27" s="1" t="s">
        <v>8</v>
      </c>
      <c r="B27">
        <v>1500</v>
      </c>
      <c r="C27">
        <v>0.05</v>
      </c>
      <c r="D27">
        <v>150</v>
      </c>
      <c r="E27">
        <f t="shared" ref="E27:E30" si="0">D27*$L$3</f>
        <v>3.0000000000000002E-2</v>
      </c>
      <c r="F27" s="49">
        <f>E27+L27</f>
        <v>0.35000000000000003</v>
      </c>
      <c r="G27" s="48">
        <f t="shared" ref="G27:G30" si="1">6.35/F27</f>
        <v>18.142857142857139</v>
      </c>
      <c r="H27" s="24">
        <f t="shared" ref="H27:H30" si="2">11000/B27</f>
        <v>7.333333333333333</v>
      </c>
      <c r="I27" s="26">
        <f t="shared" ref="I27:I30" si="3">$E$26/E27</f>
        <v>11.666666666666666</v>
      </c>
      <c r="K27" s="46">
        <v>40000</v>
      </c>
      <c r="L27" s="50">
        <f>K27/(10*15000)+800/15000</f>
        <v>0.32</v>
      </c>
    </row>
    <row r="28" spans="1:13" x14ac:dyDescent="0.25">
      <c r="A28" s="1" t="s">
        <v>9</v>
      </c>
      <c r="B28">
        <v>25</v>
      </c>
      <c r="D28">
        <v>11</v>
      </c>
      <c r="E28">
        <v>1.2999999999999999E-2</v>
      </c>
      <c r="F28" s="49">
        <f t="shared" ref="F28:F30" si="4">E28+L28</f>
        <v>5.2999999999999999E-2</v>
      </c>
      <c r="G28" s="48">
        <f t="shared" si="1"/>
        <v>119.81132075471697</v>
      </c>
      <c r="H28" s="24">
        <f t="shared" si="2"/>
        <v>440</v>
      </c>
      <c r="I28" s="26">
        <f t="shared" si="3"/>
        <v>26.923076923076927</v>
      </c>
      <c r="K28" s="46">
        <v>3000</v>
      </c>
      <c r="L28" s="50">
        <f>K28/(5*15000)</f>
        <v>0.04</v>
      </c>
    </row>
    <row r="29" spans="1:13" x14ac:dyDescent="0.25">
      <c r="A29" s="1" t="s">
        <v>10</v>
      </c>
      <c r="B29">
        <v>14</v>
      </c>
      <c r="D29">
        <v>11</v>
      </c>
      <c r="E29">
        <v>3.3000000000000002E-2</v>
      </c>
      <c r="F29" s="49">
        <f t="shared" si="4"/>
        <v>4.6333333333333337E-2</v>
      </c>
      <c r="G29" s="48">
        <f t="shared" si="1"/>
        <v>137.0503597122302</v>
      </c>
      <c r="H29" s="24">
        <f t="shared" si="2"/>
        <v>785.71428571428567</v>
      </c>
      <c r="I29" s="26">
        <f t="shared" si="3"/>
        <v>10.606060606060607</v>
      </c>
      <c r="K29" s="46">
        <v>1000</v>
      </c>
      <c r="L29" s="50">
        <f>K29/(5*15000)</f>
        <v>1.3333333333333334E-2</v>
      </c>
    </row>
    <row r="30" spans="1:13" x14ac:dyDescent="0.25">
      <c r="A30" s="1" t="s">
        <v>45</v>
      </c>
      <c r="B30">
        <v>15</v>
      </c>
      <c r="D30">
        <v>14</v>
      </c>
      <c r="E30">
        <f t="shared" si="0"/>
        <v>2.8E-3</v>
      </c>
      <c r="F30" s="49">
        <f t="shared" si="4"/>
        <v>6.8000000000000005E-3</v>
      </c>
      <c r="G30" s="48">
        <f t="shared" si="1"/>
        <v>933.82352941176464</v>
      </c>
      <c r="H30" s="24">
        <f t="shared" si="2"/>
        <v>733.33333333333337</v>
      </c>
      <c r="I30" s="26">
        <f t="shared" si="3"/>
        <v>125.00000000000001</v>
      </c>
      <c r="K30" s="46">
        <v>300</v>
      </c>
      <c r="L30" s="50">
        <f>300/(5*15000)</f>
        <v>4.0000000000000001E-3</v>
      </c>
    </row>
    <row r="49" spans="1:10" x14ac:dyDescent="0.25">
      <c r="A49" s="16"/>
      <c r="B49" s="16"/>
      <c r="C49" s="16"/>
      <c r="D49" s="16"/>
      <c r="E49" s="16"/>
      <c r="F49" s="16"/>
    </row>
    <row r="50" spans="1:10" ht="31.5" customHeight="1" x14ac:dyDescent="0.25">
      <c r="A50" s="87" t="s">
        <v>34</v>
      </c>
      <c r="B50" s="87"/>
      <c r="C50" s="87"/>
      <c r="D50" s="28" t="s">
        <v>41</v>
      </c>
      <c r="E50" s="3" t="s">
        <v>42</v>
      </c>
      <c r="F50" s="3" t="s">
        <v>43</v>
      </c>
      <c r="G50" s="54" t="s">
        <v>56</v>
      </c>
      <c r="H50" s="54" t="s">
        <v>54</v>
      </c>
      <c r="I50" s="54" t="s">
        <v>55</v>
      </c>
      <c r="J50" s="54" t="s">
        <v>57</v>
      </c>
    </row>
    <row r="51" spans="1:10" x14ac:dyDescent="0.25">
      <c r="A51" s="84" t="s">
        <v>37</v>
      </c>
      <c r="B51" s="85"/>
      <c r="C51" s="86"/>
      <c r="D51" s="52">
        <v>14</v>
      </c>
      <c r="E51" s="52">
        <v>7</v>
      </c>
      <c r="F51" s="52">
        <v>0.4</v>
      </c>
      <c r="G51" s="55" t="e">
        <f>#REF!*$C$3^3/3.6^3+#REF!*$C$3</f>
        <v>#REF!</v>
      </c>
      <c r="H51" s="55">
        <f>F51*25^3/3.6^3+E51*25</f>
        <v>308.95919067215362</v>
      </c>
      <c r="I51" s="55">
        <f>F51*35^3/3.6^3+E51*35</f>
        <v>612.58401920438951</v>
      </c>
      <c r="J51" s="55">
        <f>F51*45^3/3.6^3+E51*45</f>
        <v>1096.25</v>
      </c>
    </row>
    <row r="52" spans="1:10" x14ac:dyDescent="0.25">
      <c r="A52" s="84" t="s">
        <v>35</v>
      </c>
      <c r="B52" s="85"/>
      <c r="C52" s="86"/>
      <c r="D52" s="52">
        <v>16</v>
      </c>
      <c r="E52" s="52">
        <v>5.6</v>
      </c>
      <c r="F52" s="52">
        <v>0.46700000000000003</v>
      </c>
      <c r="G52" s="55">
        <f t="shared" ref="G52:G57" si="5">F52*$C$3^3/3.6^3+E52*$C$3</f>
        <v>296.39735510973935</v>
      </c>
      <c r="H52" s="55">
        <f t="shared" ref="H52:H57" si="6">F52*25^3/3.6^3+E52*25</f>
        <v>296.39735510973935</v>
      </c>
      <c r="I52" s="55">
        <f t="shared" ref="I52:I57" si="7">F52*35^3/3.6^3+E52*35</f>
        <v>625.15434242112474</v>
      </c>
      <c r="J52" s="55">
        <f t="shared" ref="J52:J57" si="8">F52*45^3/3.6^3+E52*45</f>
        <v>1164.1093749999998</v>
      </c>
    </row>
    <row r="53" spans="1:10" x14ac:dyDescent="0.25">
      <c r="A53" s="84" t="s">
        <v>39</v>
      </c>
      <c r="B53" s="85"/>
      <c r="C53" s="86"/>
      <c r="D53" s="52">
        <v>7</v>
      </c>
      <c r="E53" s="52">
        <v>4</v>
      </c>
      <c r="F53" s="52">
        <v>0.3</v>
      </c>
      <c r="G53" s="55">
        <f t="shared" si="5"/>
        <v>200.4693930041152</v>
      </c>
      <c r="H53" s="55">
        <f t="shared" si="6"/>
        <v>200.4693930041152</v>
      </c>
      <c r="I53" s="55">
        <f t="shared" si="7"/>
        <v>415.68801440329213</v>
      </c>
      <c r="J53" s="55">
        <f t="shared" si="8"/>
        <v>765.93749999999989</v>
      </c>
    </row>
    <row r="54" spans="1:10" x14ac:dyDescent="0.25">
      <c r="A54" s="84" t="s">
        <v>40</v>
      </c>
      <c r="B54" s="85"/>
      <c r="C54" s="86"/>
      <c r="D54" s="52">
        <v>16</v>
      </c>
      <c r="E54" s="52">
        <v>5.0999999999999996</v>
      </c>
      <c r="F54" s="52">
        <v>0.1</v>
      </c>
      <c r="G54" s="55">
        <f t="shared" si="5"/>
        <v>160.98979766803839</v>
      </c>
      <c r="H54" s="55">
        <f t="shared" si="6"/>
        <v>160.98979766803839</v>
      </c>
      <c r="I54" s="55">
        <f t="shared" si="7"/>
        <v>270.39600480109738</v>
      </c>
      <c r="J54" s="55">
        <f t="shared" si="8"/>
        <v>424.81249999999994</v>
      </c>
    </row>
    <row r="55" spans="1:10" x14ac:dyDescent="0.25">
      <c r="A55" s="84" t="s">
        <v>36</v>
      </c>
      <c r="B55" s="85"/>
      <c r="C55" s="86"/>
      <c r="D55" s="52">
        <v>14</v>
      </c>
      <c r="E55" s="52">
        <v>5</v>
      </c>
      <c r="F55" s="52">
        <v>0.08</v>
      </c>
      <c r="G55" s="55">
        <f t="shared" si="5"/>
        <v>151.79183813443072</v>
      </c>
      <c r="H55" s="55">
        <f t="shared" si="6"/>
        <v>151.79183813443072</v>
      </c>
      <c r="I55" s="55">
        <f t="shared" si="7"/>
        <v>248.51680384087791</v>
      </c>
      <c r="J55" s="55">
        <f t="shared" si="8"/>
        <v>381.25</v>
      </c>
    </row>
    <row r="56" spans="1:10" x14ac:dyDescent="0.25">
      <c r="A56" s="84" t="s">
        <v>38</v>
      </c>
      <c r="B56" s="85"/>
      <c r="C56" s="86"/>
      <c r="D56" s="52">
        <v>30</v>
      </c>
      <c r="E56" s="52">
        <v>6</v>
      </c>
      <c r="F56" s="52">
        <v>7.0000000000000001E-3</v>
      </c>
      <c r="G56" s="55">
        <f t="shared" si="5"/>
        <v>152.34428583676268</v>
      </c>
      <c r="H56" s="55">
        <f t="shared" si="6"/>
        <v>152.34428583676268</v>
      </c>
      <c r="I56" s="55">
        <f t="shared" si="7"/>
        <v>216.43272033607681</v>
      </c>
      <c r="J56" s="55">
        <f t="shared" si="8"/>
        <v>283.671875</v>
      </c>
    </row>
    <row r="57" spans="1:10" x14ac:dyDescent="0.25">
      <c r="A57" s="84" t="s">
        <v>8</v>
      </c>
      <c r="B57" s="85"/>
      <c r="C57" s="86"/>
      <c r="D57" s="52">
        <v>1500</v>
      </c>
      <c r="E57" s="52">
        <v>100</v>
      </c>
      <c r="F57" s="52">
        <v>1</v>
      </c>
      <c r="G57" s="55">
        <f t="shared" si="5"/>
        <v>2834.8979766803841</v>
      </c>
      <c r="H57" s="55">
        <f t="shared" si="6"/>
        <v>2834.8979766803841</v>
      </c>
      <c r="I57" s="55">
        <f t="shared" si="7"/>
        <v>4418.9600480109739</v>
      </c>
      <c r="J57" s="55">
        <f t="shared" si="8"/>
        <v>6453.125</v>
      </c>
    </row>
    <row r="63" spans="1:10" x14ac:dyDescent="0.25">
      <c r="A63" s="73"/>
    </row>
    <row r="64" spans="1:10" x14ac:dyDescent="0.25">
      <c r="A64" t="s">
        <v>41</v>
      </c>
      <c r="B64">
        <v>105</v>
      </c>
    </row>
    <row r="65" spans="1:3" ht="60" x14ac:dyDescent="0.25">
      <c r="A65" s="73"/>
      <c r="B65" s="74" t="s">
        <v>59</v>
      </c>
    </row>
    <row r="66" spans="1:3" x14ac:dyDescent="0.25">
      <c r="A66" t="s">
        <v>60</v>
      </c>
    </row>
    <row r="67" spans="1:3" x14ac:dyDescent="0.25">
      <c r="A67">
        <v>3</v>
      </c>
      <c r="B67">
        <f>$B$64*9.8*(0.005+0.01/A67)</f>
        <v>8.5749999999999993</v>
      </c>
    </row>
    <row r="68" spans="1:3" x14ac:dyDescent="0.25">
      <c r="A68">
        <v>3.5</v>
      </c>
      <c r="B68">
        <f t="shared" ref="B68:B71" si="9">$B$64*9.8*(0.005+0.01/A68)</f>
        <v>8.0850000000000009</v>
      </c>
    </row>
    <row r="69" spans="1:3" x14ac:dyDescent="0.25">
      <c r="A69">
        <v>4</v>
      </c>
      <c r="B69">
        <f t="shared" si="9"/>
        <v>7.7174999999999994</v>
      </c>
    </row>
    <row r="70" spans="1:3" x14ac:dyDescent="0.25">
      <c r="A70">
        <v>4.5</v>
      </c>
      <c r="B70">
        <f t="shared" si="9"/>
        <v>7.4316666666666666</v>
      </c>
    </row>
    <row r="71" spans="1:3" x14ac:dyDescent="0.25">
      <c r="A71">
        <v>5</v>
      </c>
      <c r="B71">
        <f t="shared" si="9"/>
        <v>7.2030000000000003</v>
      </c>
    </row>
    <row r="75" spans="1:3" x14ac:dyDescent="0.25">
      <c r="A75" s="72"/>
      <c r="B75" s="16"/>
      <c r="C75" s="16"/>
    </row>
    <row r="76" spans="1:3" x14ac:dyDescent="0.25">
      <c r="A76" s="72"/>
      <c r="B76" s="16"/>
      <c r="C76" s="16"/>
    </row>
    <row r="77" spans="1:3" x14ac:dyDescent="0.25">
      <c r="A77" s="72"/>
      <c r="B77" s="16"/>
      <c r="C77" s="16"/>
    </row>
    <row r="78" spans="1:3" x14ac:dyDescent="0.25">
      <c r="A78" s="72"/>
      <c r="B78" s="16"/>
      <c r="C78" s="16"/>
    </row>
    <row r="79" spans="1:3" x14ac:dyDescent="0.25">
      <c r="A79" s="72"/>
      <c r="B79" s="16"/>
      <c r="C79" s="16"/>
    </row>
    <row r="80" spans="1:3" x14ac:dyDescent="0.25">
      <c r="A80" s="72"/>
      <c r="B80" s="16"/>
      <c r="C80" s="16"/>
    </row>
  </sheetData>
  <mergeCells count="8">
    <mergeCell ref="A55:C55"/>
    <mergeCell ref="A56:C56"/>
    <mergeCell ref="A57:C57"/>
    <mergeCell ref="A50:C50"/>
    <mergeCell ref="A51:C51"/>
    <mergeCell ref="A52:C52"/>
    <mergeCell ref="A53:C53"/>
    <mergeCell ref="A54:C5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geii</dc:creator>
  <cp:lastModifiedBy>geii</cp:lastModifiedBy>
  <dcterms:created xsi:type="dcterms:W3CDTF">2024-06-06T05:48:39Z</dcterms:created>
  <dcterms:modified xsi:type="dcterms:W3CDTF">2024-08-02T18:06:45Z</dcterms:modified>
</cp:coreProperties>
</file>