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05" windowWidth="14850" windowHeight="8040"/>
  </bookViews>
  <sheets>
    <sheet name="Feuil1" sheetId="2" r:id="rId1"/>
    <sheet name="Feuil2" sheetId="3" r:id="rId2"/>
  </sheets>
  <calcPr calcId="145621"/>
</workbook>
</file>

<file path=xl/calcChain.xml><?xml version="1.0" encoding="utf-8"?>
<calcChain xmlns="http://schemas.openxmlformats.org/spreadsheetml/2006/main">
  <c r="AQ36" i="2" l="1"/>
  <c r="AR36" i="2"/>
  <c r="AS36" i="2"/>
  <c r="AT36" i="2"/>
  <c r="AU36" i="2"/>
  <c r="AV36" i="2"/>
  <c r="AW36" i="2"/>
  <c r="AX36" i="2"/>
  <c r="AY36" i="2"/>
  <c r="AZ36" i="2"/>
  <c r="BA36" i="2"/>
  <c r="BB36" i="2"/>
  <c r="BK36" i="2"/>
  <c r="BJ36" i="2" s="1"/>
  <c r="BI36" i="2" s="1"/>
  <c r="BH36" i="2" s="1"/>
  <c r="BG36" i="2" s="1"/>
  <c r="BF36" i="2" s="1"/>
  <c r="BE36" i="2" s="1"/>
  <c r="BD36" i="2" s="1"/>
  <c r="BC36" i="2" s="1"/>
  <c r="AC13" i="2" l="1"/>
  <c r="U13" i="2"/>
  <c r="AD13" i="2"/>
  <c r="AB13" i="2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S6" i="3"/>
  <c r="T6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AE6" i="2"/>
  <c r="AE7" i="2"/>
  <c r="AJ5" i="2" s="1"/>
  <c r="S17" i="2"/>
  <c r="Z17" i="2"/>
  <c r="AC17" i="2"/>
  <c r="V4" i="2"/>
  <c r="AJ3" i="2"/>
  <c r="AQ27" i="2" s="1"/>
  <c r="AP24" i="2"/>
  <c r="AS27" i="2"/>
  <c r="AR27" i="2"/>
  <c r="AC7" i="2" l="1"/>
  <c r="T6" i="2"/>
  <c r="AJ10" i="2"/>
  <c r="BK31" i="2" s="1"/>
  <c r="AD8" i="2" l="1"/>
  <c r="Z7" i="2"/>
  <c r="L39" i="2" s="1"/>
  <c r="AZ31" i="2"/>
  <c r="AU31" i="2"/>
  <c r="BA31" i="2"/>
  <c r="BB31" i="2"/>
  <c r="BJ31" i="2"/>
  <c r="BE31" i="2"/>
  <c r="BD31" i="2"/>
  <c r="AW31" i="2"/>
  <c r="AT31" i="2"/>
  <c r="AS31" i="2"/>
  <c r="AQ31" i="2"/>
  <c r="AQ30" i="2" s="1"/>
  <c r="BF31" i="2"/>
  <c r="AR31" i="2"/>
  <c r="BC31" i="2"/>
  <c r="AV31" i="2"/>
  <c r="BI31" i="2"/>
  <c r="AX31" i="2"/>
  <c r="BH31" i="2"/>
  <c r="BG31" i="2"/>
  <c r="AY31" i="2"/>
  <c r="B42" i="2" l="1"/>
  <c r="D42" i="2" s="1"/>
  <c r="B14" i="2"/>
  <c r="M33" i="2"/>
  <c r="L38" i="2"/>
  <c r="B18" i="2"/>
  <c r="B8" i="2"/>
  <c r="H8" i="2" s="1"/>
  <c r="M17" i="2"/>
  <c r="M35" i="2"/>
  <c r="L36" i="2"/>
  <c r="M8" i="2"/>
  <c r="L35" i="2"/>
  <c r="L8" i="2"/>
  <c r="L37" i="2"/>
  <c r="L43" i="2"/>
  <c r="L15" i="2"/>
  <c r="B44" i="2"/>
  <c r="J44" i="2" s="1"/>
  <c r="M28" i="2"/>
  <c r="L24" i="2"/>
  <c r="L29" i="2"/>
  <c r="M25" i="2"/>
  <c r="L40" i="2"/>
  <c r="M22" i="2"/>
  <c r="M13" i="2"/>
  <c r="M24" i="2"/>
  <c r="L31" i="2"/>
  <c r="M30" i="2"/>
  <c r="M31" i="2"/>
  <c r="L22" i="2"/>
  <c r="B28" i="2"/>
  <c r="F28" i="2" s="1"/>
  <c r="M21" i="2"/>
  <c r="B16" i="2"/>
  <c r="B10" i="2"/>
  <c r="M39" i="2"/>
  <c r="B6" i="2"/>
  <c r="L42" i="2"/>
  <c r="M42" i="2"/>
  <c r="M41" i="2"/>
  <c r="M29" i="2"/>
  <c r="M37" i="2"/>
  <c r="L25" i="2"/>
  <c r="B20" i="2"/>
  <c r="B38" i="2"/>
  <c r="F38" i="2" s="1"/>
  <c r="M44" i="2"/>
  <c r="AN7" i="2"/>
  <c r="L33" i="2"/>
  <c r="L9" i="2"/>
  <c r="L32" i="2"/>
  <c r="B30" i="2"/>
  <c r="D30" i="2" s="1"/>
  <c r="L44" i="2"/>
  <c r="M40" i="2"/>
  <c r="M43" i="2"/>
  <c r="M23" i="2"/>
  <c r="M9" i="2"/>
  <c r="M34" i="2"/>
  <c r="L30" i="2"/>
  <c r="M36" i="2"/>
  <c r="B36" i="2"/>
  <c r="H36" i="2" s="1"/>
  <c r="L13" i="2"/>
  <c r="M38" i="2"/>
  <c r="B34" i="2"/>
  <c r="F34" i="2" s="1"/>
  <c r="B24" i="2"/>
  <c r="J24" i="2" s="1"/>
  <c r="O3" i="2"/>
  <c r="B12" i="2"/>
  <c r="L23" i="2"/>
  <c r="B40" i="2"/>
  <c r="D40" i="2" s="1"/>
  <c r="B4" i="2"/>
  <c r="AN18" i="2"/>
  <c r="M5" i="2"/>
  <c r="L34" i="2"/>
  <c r="L11" i="2"/>
  <c r="L28" i="2"/>
  <c r="L17" i="2"/>
  <c r="L21" i="2"/>
  <c r="B22" i="2"/>
  <c r="H22" i="2" s="1"/>
  <c r="L5" i="2"/>
  <c r="L41" i="2"/>
  <c r="B32" i="2"/>
  <c r="D32" i="2" s="1"/>
  <c r="M15" i="2"/>
  <c r="M11" i="2"/>
  <c r="AR30" i="2"/>
  <c r="AS30" i="2" s="1"/>
  <c r="AT30" i="2" s="1"/>
  <c r="AU30" i="2" s="1"/>
  <c r="AV30" i="2" s="1"/>
  <c r="AW30" i="2" s="1"/>
  <c r="AX30" i="2" s="1"/>
  <c r="AY30" i="2" s="1"/>
  <c r="AZ30" i="2" s="1"/>
  <c r="BA30" i="2" s="1"/>
  <c r="BB30" i="2" s="1"/>
  <c r="BC30" i="2" s="1"/>
  <c r="BD30" i="2" s="1"/>
  <c r="BE30" i="2" s="1"/>
  <c r="BF30" i="2" s="1"/>
  <c r="BG30" i="2" s="1"/>
  <c r="H44" i="2" l="1"/>
  <c r="D44" i="2"/>
  <c r="F36" i="2"/>
  <c r="BH30" i="2"/>
  <c r="BI30" i="2" s="1"/>
  <c r="BJ30" i="2" s="1"/>
  <c r="BK30" i="2" s="1"/>
  <c r="F44" i="2"/>
  <c r="D34" i="2"/>
  <c r="F8" i="2"/>
  <c r="J40" i="2"/>
  <c r="J28" i="2"/>
  <c r="F22" i="2"/>
  <c r="H42" i="2"/>
  <c r="J42" i="2"/>
  <c r="F32" i="2"/>
  <c r="F40" i="2"/>
  <c r="H32" i="2"/>
  <c r="D28" i="2"/>
  <c r="D8" i="2"/>
  <c r="D24" i="2"/>
  <c r="J32" i="2"/>
  <c r="M32" i="2" s="1"/>
  <c r="D38" i="2"/>
  <c r="H30" i="2"/>
  <c r="J8" i="2"/>
  <c r="H28" i="2"/>
  <c r="F42" i="2"/>
  <c r="F24" i="2"/>
  <c r="J38" i="2"/>
  <c r="F30" i="2"/>
  <c r="H40" i="2"/>
  <c r="H24" i="2"/>
  <c r="J30" i="2"/>
  <c r="D22" i="2"/>
  <c r="D36" i="2"/>
  <c r="H38" i="2"/>
  <c r="J22" i="2"/>
  <c r="J36" i="2"/>
  <c r="J34" i="2"/>
  <c r="H34" i="2"/>
  <c r="AT27" i="2" l="1"/>
  <c r="O13" i="2" s="1"/>
  <c r="J23" i="2" l="1"/>
  <c r="H23" i="2" s="1"/>
  <c r="F23" i="2" s="1"/>
  <c r="D23" i="2" s="1"/>
  <c r="O19" i="2"/>
  <c r="J29" i="2"/>
  <c r="H29" i="2" s="1"/>
  <c r="F29" i="2" s="1"/>
  <c r="D29" i="2" s="1"/>
  <c r="J13" i="2"/>
  <c r="J15" i="2"/>
  <c r="J5" i="2"/>
  <c r="J9" i="2"/>
  <c r="J25" i="2"/>
  <c r="H25" i="2" s="1"/>
  <c r="F25" i="2" s="1"/>
  <c r="D25" i="2" s="1"/>
  <c r="J41" i="2"/>
  <c r="H41" i="2" s="1"/>
  <c r="F41" i="2" s="1"/>
  <c r="D41" i="2" s="1"/>
  <c r="J35" i="2"/>
  <c r="H35" i="2" s="1"/>
  <c r="F35" i="2" s="1"/>
  <c r="D35" i="2" s="1"/>
  <c r="J43" i="2"/>
  <c r="H43" i="2" s="1"/>
  <c r="F43" i="2" s="1"/>
  <c r="D43" i="2" s="1"/>
  <c r="J33" i="2"/>
  <c r="H33" i="2" s="1"/>
  <c r="F33" i="2" s="1"/>
  <c r="D33" i="2" s="1"/>
  <c r="J7" i="2"/>
  <c r="J39" i="2"/>
  <c r="H39" i="2" s="1"/>
  <c r="F39" i="2" s="1"/>
  <c r="D39" i="2" s="1"/>
  <c r="J19" i="2"/>
  <c r="J11" i="2"/>
  <c r="J45" i="2"/>
  <c r="J17" i="2"/>
  <c r="J37" i="2"/>
  <c r="H37" i="2" s="1"/>
  <c r="F37" i="2" s="1"/>
  <c r="D37" i="2" s="1"/>
  <c r="T19" i="2"/>
  <c r="J31" i="2"/>
  <c r="H31" i="2" s="1"/>
  <c r="F31" i="2" s="1"/>
  <c r="D31" i="2" s="1"/>
  <c r="J21" i="2"/>
  <c r="H21" i="2" s="1"/>
  <c r="F21" i="2" s="1"/>
  <c r="D21" i="2" s="1"/>
  <c r="H45" i="2" l="1"/>
  <c r="M45" i="2"/>
  <c r="H19" i="2"/>
  <c r="M19" i="2" s="1"/>
  <c r="J20" i="2"/>
  <c r="H11" i="2"/>
  <c r="J12" i="2"/>
  <c r="H9" i="2"/>
  <c r="J10" i="2"/>
  <c r="H15" i="2"/>
  <c r="J16" i="2"/>
  <c r="H17" i="2"/>
  <c r="J18" i="2"/>
  <c r="H7" i="2"/>
  <c r="F7" i="2" s="1"/>
  <c r="D7" i="2" s="1"/>
  <c r="L7" i="2"/>
  <c r="M7" i="2"/>
  <c r="H5" i="2"/>
  <c r="J6" i="2"/>
  <c r="J4" i="2"/>
  <c r="H4" i="2"/>
  <c r="F4" i="2"/>
  <c r="J14" i="2"/>
  <c r="H13" i="2"/>
  <c r="F45" i="2" l="1"/>
  <c r="D45" i="2" s="1"/>
  <c r="L45" i="2"/>
  <c r="M20" i="2"/>
  <c r="L20" i="2"/>
  <c r="F19" i="2"/>
  <c r="L19" i="2" s="1"/>
  <c r="H20" i="2"/>
  <c r="F11" i="2"/>
  <c r="H12" i="2"/>
  <c r="L12" i="2" s="1"/>
  <c r="M12" i="2"/>
  <c r="F9" i="2"/>
  <c r="H10" i="2"/>
  <c r="M10" i="2"/>
  <c r="L10" i="2"/>
  <c r="F15" i="2"/>
  <c r="H16" i="2"/>
  <c r="M16" i="2"/>
  <c r="L16" i="2"/>
  <c r="F17" i="2"/>
  <c r="H18" i="2"/>
  <c r="M18" i="2"/>
  <c r="L18" i="2"/>
  <c r="L6" i="2"/>
  <c r="M6" i="2"/>
  <c r="F5" i="2"/>
  <c r="H6" i="2"/>
  <c r="M4" i="2"/>
  <c r="L4" i="2"/>
  <c r="F13" i="2"/>
  <c r="H14" i="2"/>
  <c r="L14" i="2"/>
  <c r="M14" i="2"/>
  <c r="D19" i="2" l="1"/>
  <c r="D20" i="2" s="1"/>
  <c r="F20" i="2"/>
  <c r="D11" i="2"/>
  <c r="F12" i="2"/>
  <c r="D9" i="2"/>
  <c r="D10" i="2" s="1"/>
  <c r="F10" i="2"/>
  <c r="D15" i="2"/>
  <c r="F16" i="2"/>
  <c r="D17" i="2"/>
  <c r="D18" i="2" s="1"/>
  <c r="F18" i="2"/>
  <c r="D5" i="2"/>
  <c r="F6" i="2"/>
  <c r="M46" i="2"/>
  <c r="F14" i="2"/>
  <c r="D13" i="2"/>
  <c r="D14" i="2" s="1"/>
  <c r="L46" i="2"/>
  <c r="AN12" i="2"/>
  <c r="D16" i="2" l="1"/>
  <c r="D12" i="2"/>
  <c r="D4" i="2"/>
  <c r="D6" i="2"/>
  <c r="AP23" i="2"/>
  <c r="AN21" i="2"/>
  <c r="AN17" i="2"/>
  <c r="AN19" i="2" s="1"/>
  <c r="AN20" i="2" s="1"/>
  <c r="AN13" i="2"/>
  <c r="AN14" i="2" l="1"/>
  <c r="AN15" i="2" s="1"/>
  <c r="AC3" i="2" s="1"/>
</calcChain>
</file>

<file path=xl/sharedStrings.xml><?xml version="1.0" encoding="utf-8"?>
<sst xmlns="http://schemas.openxmlformats.org/spreadsheetml/2006/main" count="77" uniqueCount="29">
  <si>
    <t>AGE</t>
  </si>
  <si>
    <t>VV  Cot2</t>
  </si>
  <si>
    <t>VV  Cot3</t>
  </si>
  <si>
    <t>VV  Cot4</t>
  </si>
  <si>
    <t>Mois</t>
  </si>
  <si>
    <t>Années</t>
  </si>
  <si>
    <t>Date de 1ère MC</t>
  </si>
  <si>
    <t>Age du véhicule</t>
  </si>
  <si>
    <t>Ans</t>
  </si>
  <si>
    <t>DATE DU JOUR</t>
  </si>
  <si>
    <t>DATE LIMITE</t>
  </si>
  <si>
    <t>Indice de côtation de ce modèle sur le marché local de 1 à 4 selon votre avis</t>
  </si>
  <si>
    <t>et</t>
  </si>
  <si>
    <t>CAMION</t>
  </si>
  <si>
    <t>VOITURE</t>
  </si>
  <si>
    <t>%</t>
  </si>
  <si>
    <t>VERSION  7</t>
  </si>
  <si>
    <t>coefficients</t>
  </si>
  <si>
    <t>Date evaluation</t>
  </si>
  <si>
    <t>Valeur neuve théorique du véhicule expertisé</t>
  </si>
  <si>
    <t>Indiquer la dernière valeur neuve</t>
  </si>
  <si>
    <t>Non</t>
  </si>
  <si>
    <t>DATE DE L'EVALUATION :</t>
  </si>
  <si>
    <t>Date d'évaluation     Vide= Date du jour</t>
  </si>
  <si>
    <t>Année correspondante    Vide= Année évalation</t>
  </si>
  <si>
    <t xml:space="preserve"> Taux sur l'état du véhicule  :  Minimum  -20%    Maximum  +20%  </t>
  </si>
  <si>
    <t>DE 2025 à 2006</t>
  </si>
  <si>
    <t>de 2006 à 2025</t>
  </si>
  <si>
    <r>
      <t xml:space="preserve">CALCUL  DE  LA  VALEUR  VENALE  -   (2008)                                            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 xml:space="preserve">  MOHAMED  EL HADRI        </t>
    </r>
    <r>
      <rPr>
        <b/>
        <sz val="14"/>
        <color indexed="10"/>
        <rFont val="Arial"/>
        <family val="2"/>
      </rPr>
      <t xml:space="preserve">MJ 08/10/2025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</si>
</sst>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4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9"/>
      <name val="Arial"/>
      <family val="2"/>
    </font>
    <font>
      <b/>
      <sz val="10"/>
      <color indexed="57"/>
      <name val="Arial"/>
      <family val="2"/>
    </font>
    <font>
      <b/>
      <sz val="10"/>
      <color indexed="18"/>
      <name val="Arial"/>
      <family val="2"/>
    </font>
    <font>
      <sz val="10"/>
      <color indexed="21"/>
      <name val="Arial"/>
      <family val="2"/>
    </font>
    <font>
      <b/>
      <sz val="10"/>
      <color indexed="21"/>
      <name val="Arial"/>
      <family val="2"/>
    </font>
    <font>
      <b/>
      <sz val="9"/>
      <name val="Arial"/>
      <family val="2"/>
    </font>
    <font>
      <b/>
      <sz val="9"/>
      <color indexed="2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21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20"/>
      <name val="Arial"/>
      <family val="2"/>
    </font>
    <font>
      <sz val="14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B050"/>
      <name val="Arial"/>
      <family val="2"/>
    </font>
    <font>
      <sz val="18"/>
      <color rgb="FF0070C0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3"/>
      <color theme="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b/>
      <sz val="12"/>
      <color rgb="FF007A37"/>
      <name val="Arial"/>
      <family val="2"/>
    </font>
    <font>
      <sz val="16"/>
      <color theme="0"/>
      <name val="Arial"/>
      <family val="2"/>
    </font>
    <font>
      <b/>
      <sz val="13"/>
      <color theme="0"/>
      <name val="Arial"/>
      <family val="2"/>
    </font>
    <font>
      <sz val="24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8EE"/>
        <bgColor indexed="64"/>
      </patternFill>
    </fill>
    <fill>
      <patternFill patternType="solid">
        <fgColor rgb="FF2F74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EBF6F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2" tint="-9.9948118533890809E-2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 tint="0.499984740745262"/>
      </top>
      <bottom style="medium">
        <color theme="0"/>
      </bottom>
      <diagonal/>
    </border>
    <border>
      <left/>
      <right/>
      <top style="thick">
        <color theme="2" tint="-0.24994659260841701"/>
      </top>
      <bottom/>
      <diagonal/>
    </border>
    <border>
      <left/>
      <right/>
      <top/>
      <bottom style="thick">
        <color theme="2" tint="-0.2499465926084170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 tint="0.499984740745262"/>
      </top>
      <bottom style="medium">
        <color theme="0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ck">
        <color theme="2" tint="-0.24994659260841701"/>
      </left>
      <right/>
      <top/>
      <bottom/>
      <diagonal/>
    </border>
  </borders>
  <cellStyleXfs count="6">
    <xf numFmtId="0" fontId="0" fillId="0" borderId="0"/>
    <xf numFmtId="0" fontId="21" fillId="0" borderId="0"/>
    <xf numFmtId="0" fontId="21" fillId="0" borderId="0"/>
    <xf numFmtId="0" fontId="35" fillId="0" borderId="0"/>
    <xf numFmtId="0" fontId="27" fillId="0" borderId="0"/>
    <xf numFmtId="0" fontId="21" fillId="0" borderId="0"/>
  </cellStyleXfs>
  <cellXfs count="267">
    <xf numFmtId="0" fontId="0" fillId="0" borderId="0" xfId="0"/>
    <xf numFmtId="0" fontId="0" fillId="0" borderId="0" xfId="0" applyProtection="1"/>
    <xf numFmtId="0" fontId="16" fillId="0" borderId="0" xfId="0" applyFont="1" applyProtection="1"/>
    <xf numFmtId="164" fontId="0" fillId="0" borderId="0" xfId="0" applyNumberFormat="1" applyProtection="1"/>
    <xf numFmtId="2" fontId="9" fillId="0" borderId="0" xfId="0" applyNumberFormat="1" applyFont="1" applyProtection="1"/>
    <xf numFmtId="0" fontId="9" fillId="0" borderId="0" xfId="0" applyFont="1" applyProtection="1"/>
    <xf numFmtId="164" fontId="3" fillId="1" borderId="0" xfId="0" applyNumberFormat="1" applyFont="1" applyFill="1" applyProtection="1"/>
    <xf numFmtId="164" fontId="11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Protection="1"/>
    <xf numFmtId="164" fontId="1" fillId="1" borderId="0" xfId="0" applyNumberFormat="1" applyFont="1" applyFill="1" applyProtection="1"/>
    <xf numFmtId="0" fontId="0" fillId="0" borderId="1" xfId="0" applyBorder="1" applyProtection="1"/>
    <xf numFmtId="0" fontId="3" fillId="0" borderId="0" xfId="0" applyFont="1" applyBorder="1" applyProtection="1"/>
    <xf numFmtId="0" fontId="14" fillId="0" borderId="0" xfId="0" applyFont="1" applyBorder="1" applyProtection="1"/>
    <xf numFmtId="164" fontId="3" fillId="0" borderId="0" xfId="0" applyNumberFormat="1" applyFont="1" applyBorder="1" applyProtection="1"/>
    <xf numFmtId="2" fontId="17" fillId="0" borderId="0" xfId="0" applyNumberFormat="1" applyFont="1" applyBorder="1" applyProtection="1"/>
    <xf numFmtId="0" fontId="17" fillId="0" borderId="0" xfId="0" applyFont="1" applyBorder="1" applyProtection="1"/>
    <xf numFmtId="164" fontId="3" fillId="1" borderId="0" xfId="0" applyNumberFormat="1" applyFont="1" applyFill="1" applyBorder="1" applyProtection="1"/>
    <xf numFmtId="164" fontId="11" fillId="0" borderId="0" xfId="0" applyNumberFormat="1" applyFont="1" applyBorder="1" applyAlignment="1" applyProtection="1">
      <alignment horizontal="center"/>
    </xf>
    <xf numFmtId="0" fontId="12" fillId="0" borderId="1" xfId="0" applyFont="1" applyBorder="1" applyProtection="1"/>
    <xf numFmtId="0" fontId="13" fillId="0" borderId="0" xfId="0" applyFont="1" applyBorder="1" applyProtection="1"/>
    <xf numFmtId="0" fontId="15" fillId="0" borderId="0" xfId="0" applyFont="1" applyBorder="1" applyProtection="1"/>
    <xf numFmtId="164" fontId="13" fillId="0" borderId="0" xfId="0" applyNumberFormat="1" applyFont="1" applyBorder="1" applyProtection="1"/>
    <xf numFmtId="2" fontId="18" fillId="0" borderId="0" xfId="0" applyNumberFormat="1" applyFont="1" applyBorder="1" applyProtection="1"/>
    <xf numFmtId="0" fontId="18" fillId="0" borderId="0" xfId="0" applyFont="1" applyBorder="1" applyProtection="1"/>
    <xf numFmtId="164" fontId="10" fillId="1" borderId="0" xfId="0" applyNumberFormat="1" applyFont="1" applyFill="1" applyBorder="1" applyProtection="1"/>
    <xf numFmtId="0" fontId="4" fillId="0" borderId="1" xfId="0" applyFont="1" applyBorder="1" applyProtection="1"/>
    <xf numFmtId="0" fontId="5" fillId="0" borderId="0" xfId="0" applyFont="1" applyBorder="1" applyProtection="1"/>
    <xf numFmtId="164" fontId="5" fillId="0" borderId="0" xfId="0" applyNumberFormat="1" applyFont="1" applyBorder="1" applyProtection="1"/>
    <xf numFmtId="164" fontId="1" fillId="1" borderId="0" xfId="0" applyNumberFormat="1" applyFont="1" applyFill="1" applyBorder="1" applyProtection="1"/>
    <xf numFmtId="164" fontId="0" fillId="0" borderId="0" xfId="0" applyNumberFormat="1" applyBorder="1" applyProtection="1"/>
    <xf numFmtId="0" fontId="4" fillId="0" borderId="2" xfId="0" applyFont="1" applyBorder="1" applyProtection="1"/>
    <xf numFmtId="0" fontId="21" fillId="0" borderId="0" xfId="0" applyFont="1" applyProtection="1"/>
    <xf numFmtId="0" fontId="21" fillId="0" borderId="0" xfId="0" applyFont="1" applyBorder="1" applyProtection="1"/>
    <xf numFmtId="0" fontId="0" fillId="2" borderId="0" xfId="0" applyFill="1" applyBorder="1" applyProtection="1"/>
    <xf numFmtId="0" fontId="0" fillId="0" borderId="3" xfId="0" applyBorder="1" applyProtection="1"/>
    <xf numFmtId="0" fontId="0" fillId="0" borderId="0" xfId="0" applyAlignment="1"/>
    <xf numFmtId="0" fontId="37" fillId="0" borderId="0" xfId="0" applyFont="1" applyAlignment="1" applyProtection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2" borderId="0" xfId="0" applyFill="1" applyProtection="1"/>
    <xf numFmtId="164" fontId="0" fillId="2" borderId="0" xfId="0" applyNumberFormat="1" applyFill="1" applyBorder="1" applyProtection="1"/>
    <xf numFmtId="0" fontId="20" fillId="2" borderId="0" xfId="0" applyFont="1" applyFill="1" applyBorder="1" applyAlignment="1" applyProtection="1"/>
    <xf numFmtId="164" fontId="38" fillId="2" borderId="0" xfId="0" applyNumberFormat="1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21" fillId="0" borderId="0" xfId="0" applyFont="1" applyAlignment="1" applyProtection="1">
      <alignment vertical="top"/>
    </xf>
    <xf numFmtId="164" fontId="0" fillId="2" borderId="0" xfId="0" applyNumberFormat="1" applyFill="1" applyProtection="1"/>
    <xf numFmtId="0" fontId="8" fillId="2" borderId="0" xfId="0" applyFont="1" applyFill="1" applyAlignment="1" applyProtection="1">
      <alignment horizontal="center" vertical="center"/>
    </xf>
    <xf numFmtId="164" fontId="0" fillId="2" borderId="4" xfId="0" applyNumberFormat="1" applyFill="1" applyBorder="1" applyAlignment="1" applyProtection="1"/>
    <xf numFmtId="164" fontId="39" fillId="3" borderId="0" xfId="0" applyNumberFormat="1" applyFont="1" applyFill="1" applyBorder="1" applyAlignment="1" applyProtection="1">
      <alignment horizontal="center" vertical="center"/>
    </xf>
    <xf numFmtId="164" fontId="39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4" borderId="0" xfId="0" applyFont="1" applyFill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Alignment="1">
      <alignment vertical="center"/>
    </xf>
    <xf numFmtId="164" fontId="0" fillId="5" borderId="0" xfId="0" applyNumberFormat="1" applyFill="1" applyProtection="1"/>
    <xf numFmtId="164" fontId="0" fillId="5" borderId="0" xfId="0" applyNumberFormat="1" applyFill="1" applyBorder="1" applyProtection="1"/>
    <xf numFmtId="0" fontId="7" fillId="5" borderId="0" xfId="0" applyFont="1" applyFill="1" applyBorder="1" applyAlignment="1" applyProtection="1">
      <alignment horizontal="center" vertical="center" wrapText="1"/>
    </xf>
    <xf numFmtId="164" fontId="11" fillId="5" borderId="0" xfId="0" applyNumberFormat="1" applyFont="1" applyFill="1" applyBorder="1" applyAlignment="1" applyProtection="1">
      <alignment horizontal="center"/>
    </xf>
    <xf numFmtId="0" fontId="19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164" fontId="8" fillId="5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vertical="center"/>
    </xf>
    <xf numFmtId="164" fontId="0" fillId="5" borderId="0" xfId="0" applyNumberFormat="1" applyFill="1" applyBorder="1" applyAlignment="1" applyProtection="1"/>
    <xf numFmtId="0" fontId="0" fillId="5" borderId="6" xfId="0" applyFill="1" applyBorder="1" applyProtection="1"/>
    <xf numFmtId="0" fontId="0" fillId="5" borderId="0" xfId="0" applyFill="1" applyBorder="1" applyProtection="1"/>
    <xf numFmtId="0" fontId="40" fillId="5" borderId="44" xfId="0" applyFont="1" applyFill="1" applyBorder="1" applyAlignment="1" applyProtection="1"/>
    <xf numFmtId="0" fontId="40" fillId="5" borderId="44" xfId="0" applyFont="1" applyFill="1" applyBorder="1" applyAlignment="1"/>
    <xf numFmtId="164" fontId="22" fillId="2" borderId="7" xfId="0" applyNumberFormat="1" applyFont="1" applyFill="1" applyBorder="1" applyAlignment="1">
      <alignment horizontal="center" vertical="center"/>
    </xf>
    <xf numFmtId="164" fontId="41" fillId="3" borderId="8" xfId="0" applyNumberFormat="1" applyFont="1" applyFill="1" applyBorder="1" applyAlignment="1" applyProtection="1">
      <alignment horizontal="center" vertical="center"/>
    </xf>
    <xf numFmtId="164" fontId="41" fillId="6" borderId="8" xfId="0" applyNumberFormat="1" applyFont="1" applyFill="1" applyBorder="1" applyAlignment="1">
      <alignment horizontal="center" vertical="center"/>
    </xf>
    <xf numFmtId="164" fontId="41" fillId="6" borderId="9" xfId="0" applyNumberFormat="1" applyFont="1" applyFill="1" applyBorder="1" applyAlignment="1">
      <alignment horizontal="center" vertical="center"/>
    </xf>
    <xf numFmtId="164" fontId="41" fillId="6" borderId="8" xfId="0" applyNumberFormat="1" applyFont="1" applyFill="1" applyBorder="1" applyAlignment="1" applyProtection="1">
      <alignment horizontal="center" vertical="center"/>
    </xf>
    <xf numFmtId="164" fontId="41" fillId="6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4" fontId="0" fillId="0" borderId="0" xfId="0" applyNumberFormat="1" applyFill="1" applyBorder="1" applyAlignment="1" applyProtection="1"/>
    <xf numFmtId="0" fontId="42" fillId="0" borderId="0" xfId="0" applyFont="1" applyFill="1" applyAlignment="1">
      <alignment vertical="center"/>
    </xf>
    <xf numFmtId="0" fontId="40" fillId="0" borderId="0" xfId="0" applyFont="1" applyFill="1" applyAlignment="1"/>
    <xf numFmtId="0" fontId="0" fillId="0" borderId="0" xfId="0" applyFill="1" applyAlignment="1"/>
    <xf numFmtId="0" fontId="40" fillId="0" borderId="0" xfId="0" applyFont="1" applyFill="1" applyAlignment="1">
      <alignment vertical="top"/>
    </xf>
    <xf numFmtId="164" fontId="0" fillId="0" borderId="0" xfId="0" applyNumberFormat="1" applyFill="1" applyProtection="1"/>
    <xf numFmtId="0" fontId="0" fillId="0" borderId="0" xfId="0" applyFill="1" applyAlignment="1">
      <alignment vertical="center"/>
    </xf>
    <xf numFmtId="0" fontId="43" fillId="0" borderId="0" xfId="0" applyFont="1" applyFill="1" applyAlignment="1" applyProtection="1">
      <alignment horizontal="left" vertical="center"/>
    </xf>
    <xf numFmtId="0" fontId="40" fillId="5" borderId="0" xfId="0" applyFont="1" applyFill="1" applyBorder="1" applyAlignment="1"/>
    <xf numFmtId="0" fontId="40" fillId="0" borderId="0" xfId="0" applyFont="1" applyFill="1" applyBorder="1" applyAlignment="1"/>
    <xf numFmtId="0" fontId="3" fillId="0" borderId="5" xfId="0" applyFont="1" applyBorder="1" applyAlignment="1">
      <alignment horizontal="center" vertical="center"/>
    </xf>
    <xf numFmtId="0" fontId="35" fillId="0" borderId="0" xfId="3"/>
    <xf numFmtId="0" fontId="35" fillId="0" borderId="0" xfId="3"/>
    <xf numFmtId="0" fontId="35" fillId="0" borderId="0" xfId="3"/>
    <xf numFmtId="1" fontId="28" fillId="0" borderId="0" xfId="2" applyNumberFormat="1" applyFont="1" applyProtection="1"/>
    <xf numFmtId="1" fontId="29" fillId="0" borderId="0" xfId="2" applyNumberFormat="1" applyFont="1" applyProtection="1"/>
    <xf numFmtId="1" fontId="15" fillId="0" borderId="0" xfId="2" applyNumberFormat="1" applyFont="1" applyProtection="1"/>
    <xf numFmtId="1" fontId="26" fillId="0" borderId="0" xfId="2" applyNumberFormat="1" applyFont="1"/>
    <xf numFmtId="0" fontId="0" fillId="0" borderId="0" xfId="0" applyFill="1" applyAlignment="1" applyProtection="1">
      <alignment horizontal="center" vertical="center"/>
      <protection hidden="1"/>
    </xf>
    <xf numFmtId="0" fontId="21" fillId="0" borderId="0" xfId="0" applyFont="1" applyAlignment="1"/>
    <xf numFmtId="0" fontId="40" fillId="2" borderId="0" xfId="0" applyFont="1" applyFill="1" applyAlignment="1" applyProtection="1"/>
    <xf numFmtId="0" fontId="40" fillId="2" borderId="0" xfId="0" applyFont="1" applyFill="1" applyAlignment="1"/>
    <xf numFmtId="164" fontId="44" fillId="0" borderId="0" xfId="0" applyNumberFormat="1" applyFont="1" applyBorder="1" applyProtection="1"/>
    <xf numFmtId="2" fontId="45" fillId="0" borderId="0" xfId="0" applyNumberFormat="1" applyFont="1"/>
    <xf numFmtId="164" fontId="45" fillId="0" borderId="0" xfId="0" applyNumberFormat="1" applyFont="1"/>
    <xf numFmtId="0" fontId="40" fillId="0" borderId="0" xfId="0" applyFont="1" applyFill="1" applyBorder="1" applyAlignment="1" applyProtection="1"/>
    <xf numFmtId="0" fontId="41" fillId="0" borderId="0" xfId="0" applyFont="1" applyProtection="1"/>
    <xf numFmtId="49" fontId="46" fillId="0" borderId="0" xfId="0" applyNumberFormat="1" applyFont="1" applyProtection="1"/>
    <xf numFmtId="0" fontId="46" fillId="0" borderId="0" xfId="0" applyFont="1" applyProtection="1"/>
    <xf numFmtId="0" fontId="47" fillId="0" borderId="0" xfId="0" applyFont="1" applyFill="1"/>
    <xf numFmtId="14" fontId="0" fillId="0" borderId="0" xfId="0" applyNumberFormat="1" applyFill="1" applyProtection="1"/>
    <xf numFmtId="0" fontId="3" fillId="7" borderId="0" xfId="0" applyFont="1" applyFill="1" applyBorder="1" applyAlignment="1" applyProtection="1">
      <alignment horizontal="center"/>
      <protection hidden="1"/>
    </xf>
    <xf numFmtId="0" fontId="36" fillId="6" borderId="3" xfId="0" applyFont="1" applyFill="1" applyBorder="1" applyProtection="1">
      <protection hidden="1"/>
    </xf>
    <xf numFmtId="164" fontId="48" fillId="8" borderId="3" xfId="0" applyNumberFormat="1" applyFont="1" applyFill="1" applyBorder="1" applyProtection="1">
      <protection hidden="1"/>
    </xf>
    <xf numFmtId="164" fontId="48" fillId="0" borderId="3" xfId="0" applyNumberFormat="1" applyFont="1" applyBorder="1" applyProtection="1">
      <protection hidden="1"/>
    </xf>
    <xf numFmtId="0" fontId="35" fillId="0" borderId="0" xfId="3"/>
    <xf numFmtId="0" fontId="36" fillId="0" borderId="3" xfId="3" applyFont="1" applyBorder="1" applyAlignment="1">
      <alignment horizontal="center" vertical="center"/>
    </xf>
    <xf numFmtId="0" fontId="35" fillId="0" borderId="3" xfId="3" applyBorder="1" applyAlignment="1">
      <alignment horizontal="center" vertical="center"/>
    </xf>
    <xf numFmtId="10" fontId="35" fillId="0" borderId="3" xfId="3" applyNumberForma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10" fontId="35" fillId="0" borderId="3" xfId="3" applyNumberFormat="1" applyFont="1" applyBorder="1" applyAlignment="1">
      <alignment horizontal="center" vertical="center"/>
    </xf>
    <xf numFmtId="0" fontId="36" fillId="0" borderId="0" xfId="3" applyFont="1" applyFill="1" applyBorder="1"/>
    <xf numFmtId="1" fontId="35" fillId="0" borderId="0" xfId="3" applyNumberFormat="1" applyFill="1" applyBorder="1" applyProtection="1"/>
    <xf numFmtId="10" fontId="35" fillId="0" borderId="0" xfId="3" applyNumberFormat="1" applyBorder="1" applyAlignment="1">
      <alignment horizontal="center" vertical="center"/>
    </xf>
    <xf numFmtId="0" fontId="0" fillId="0" borderId="0" xfId="0" applyBorder="1" applyProtection="1"/>
    <xf numFmtId="164" fontId="31" fillId="0" borderId="0" xfId="0" applyNumberFormat="1" applyFont="1" applyBorder="1" applyAlignment="1">
      <alignment vertical="center"/>
    </xf>
    <xf numFmtId="164" fontId="0" fillId="0" borderId="3" xfId="0" applyNumberFormat="1" applyBorder="1" applyProtection="1"/>
    <xf numFmtId="0" fontId="36" fillId="0" borderId="0" xfId="0" applyFont="1" applyFill="1" applyBorder="1" applyProtection="1">
      <protection hidden="1"/>
    </xf>
    <xf numFmtId="1" fontId="48" fillId="0" borderId="0" xfId="0" applyNumberFormat="1" applyFont="1" applyFill="1" applyBorder="1" applyProtection="1">
      <protection hidden="1"/>
    </xf>
    <xf numFmtId="14" fontId="0" fillId="0" borderId="0" xfId="0" applyNumberFormat="1" applyAlignment="1" applyProtection="1">
      <alignment horizontal="left"/>
    </xf>
    <xf numFmtId="14" fontId="0" fillId="0" borderId="0" xfId="0" applyNumberFormat="1" applyProtection="1"/>
    <xf numFmtId="14" fontId="49" fillId="0" borderId="0" xfId="0" applyNumberFormat="1" applyFont="1" applyProtection="1"/>
    <xf numFmtId="0" fontId="50" fillId="0" borderId="0" xfId="0" applyFont="1" applyFill="1" applyBorder="1" applyAlignment="1" applyProtection="1">
      <alignment horizontal="center" vertical="center"/>
    </xf>
    <xf numFmtId="0" fontId="50" fillId="0" borderId="1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center" vertical="center"/>
    </xf>
    <xf numFmtId="0" fontId="51" fillId="0" borderId="1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22" fillId="7" borderId="0" xfId="0" applyFont="1" applyFill="1" applyBorder="1" applyAlignment="1">
      <alignment horizontal="center" vertical="center"/>
    </xf>
    <xf numFmtId="0" fontId="22" fillId="7" borderId="0" xfId="0" applyFont="1" applyFill="1" applyBorder="1" applyAlignment="1" applyProtection="1">
      <alignment horizontal="center" vertical="center"/>
    </xf>
    <xf numFmtId="0" fontId="22" fillId="7" borderId="11" xfId="0" applyFont="1" applyFill="1" applyBorder="1" applyAlignment="1" applyProtection="1">
      <alignment horizontal="left" vertical="center"/>
    </xf>
    <xf numFmtId="0" fontId="0" fillId="7" borderId="1" xfId="0" applyFill="1" applyBorder="1" applyAlignment="1">
      <alignment vertical="center"/>
    </xf>
    <xf numFmtId="0" fontId="25" fillId="0" borderId="45" xfId="0" applyFont="1" applyBorder="1" applyAlignment="1" applyProtection="1">
      <alignment horizontal="center" vertical="center"/>
      <protection locked="0" hidden="1"/>
    </xf>
    <xf numFmtId="0" fontId="0" fillId="0" borderId="46" xfId="0" applyBorder="1" applyProtection="1"/>
    <xf numFmtId="1" fontId="51" fillId="9" borderId="47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center" vertical="center" wrapText="1"/>
    </xf>
    <xf numFmtId="164" fontId="40" fillId="0" borderId="48" xfId="0" applyNumberFormat="1" applyFont="1" applyBorder="1" applyAlignment="1" applyProtection="1">
      <alignment horizontal="center"/>
      <protection locked="0"/>
    </xf>
    <xf numFmtId="164" fontId="40" fillId="0" borderId="49" xfId="0" applyNumberFormat="1" applyFont="1" applyBorder="1" applyAlignment="1" applyProtection="1">
      <alignment horizontal="center"/>
      <protection locked="0"/>
    </xf>
    <xf numFmtId="164" fontId="34" fillId="2" borderId="12" xfId="0" applyNumberFormat="1" applyFont="1" applyFill="1" applyBorder="1" applyAlignment="1" applyProtection="1">
      <alignment horizontal="center" vertical="center"/>
      <protection hidden="1"/>
    </xf>
    <xf numFmtId="164" fontId="34" fillId="2" borderId="0" xfId="0" applyNumberFormat="1" applyFont="1" applyFill="1" applyBorder="1" applyAlignment="1" applyProtection="1">
      <alignment horizontal="center" vertical="center"/>
      <protection hidden="1"/>
    </xf>
    <xf numFmtId="0" fontId="3" fillId="10" borderId="13" xfId="0" applyFont="1" applyFill="1" applyBorder="1" applyAlignment="1" applyProtection="1">
      <alignment horizontal="right" vertical="center"/>
      <protection hidden="1"/>
    </xf>
    <xf numFmtId="0" fontId="25" fillId="0" borderId="50" xfId="0" applyFont="1" applyBorder="1" applyAlignment="1" applyProtection="1">
      <protection locked="0" hidden="1"/>
    </xf>
    <xf numFmtId="0" fontId="49" fillId="0" borderId="0" xfId="0" applyFont="1" applyFill="1" applyAlignment="1"/>
    <xf numFmtId="0" fontId="0" fillId="0" borderId="0" xfId="0" applyBorder="1"/>
    <xf numFmtId="0" fontId="36" fillId="11" borderId="3" xfId="0" applyFont="1" applyFill="1" applyBorder="1" applyProtection="1">
      <protection hidden="1"/>
    </xf>
    <xf numFmtId="164" fontId="48" fillId="0" borderId="0" xfId="0" applyNumberFormat="1" applyFont="1" applyFill="1" applyBorder="1" applyProtection="1">
      <protection hidden="1"/>
    </xf>
    <xf numFmtId="0" fontId="0" fillId="0" borderId="0" xfId="0" applyFill="1"/>
    <xf numFmtId="0" fontId="21" fillId="0" borderId="0" xfId="0" applyFont="1"/>
    <xf numFmtId="164" fontId="48" fillId="0" borderId="0" xfId="0" applyNumberFormat="1" applyFont="1" applyBorder="1" applyProtection="1">
      <protection hidden="1"/>
    </xf>
    <xf numFmtId="1" fontId="52" fillId="9" borderId="51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Border="1"/>
    <xf numFmtId="0" fontId="3" fillId="13" borderId="32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13" borderId="32" xfId="1" applyFont="1" applyFill="1" applyBorder="1" applyAlignment="1" applyProtection="1">
      <alignment horizontal="right" vertical="center"/>
      <protection hidden="1"/>
    </xf>
    <xf numFmtId="0" fontId="0" fillId="0" borderId="20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164" fontId="57" fillId="12" borderId="40" xfId="0" applyNumberFormat="1" applyFont="1" applyFill="1" applyBorder="1" applyAlignment="1" applyProtection="1">
      <alignment horizontal="center" vertical="center" wrapText="1"/>
      <protection hidden="1"/>
    </xf>
    <xf numFmtId="0" fontId="43" fillId="0" borderId="22" xfId="0" applyFont="1" applyBorder="1" applyAlignment="1" applyProtection="1">
      <alignment horizontal="center" vertical="center" wrapText="1"/>
      <protection hidden="1"/>
    </xf>
    <xf numFmtId="0" fontId="33" fillId="0" borderId="22" xfId="0" applyFont="1" applyBorder="1" applyAlignment="1">
      <alignment horizontal="center" vertical="center" wrapText="1"/>
    </xf>
    <xf numFmtId="14" fontId="58" fillId="0" borderId="20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3" fillId="9" borderId="6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3" fillId="7" borderId="4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" fontId="52" fillId="9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13" borderId="32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22" fillId="0" borderId="0" xfId="0" applyFont="1" applyAlignment="1" applyProtection="1"/>
    <xf numFmtId="0" fontId="22" fillId="0" borderId="0" xfId="0" applyFont="1" applyAlignment="1"/>
    <xf numFmtId="0" fontId="7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3" fillId="7" borderId="18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42" fillId="9" borderId="1" xfId="0" applyNumberFormat="1" applyFont="1" applyFill="1" applyBorder="1" applyAlignment="1" applyProtection="1">
      <alignment horizontal="center" vertical="center"/>
      <protection locked="0"/>
    </xf>
    <xf numFmtId="14" fontId="42" fillId="9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protection locked="0"/>
    </xf>
    <xf numFmtId="0" fontId="53" fillId="9" borderId="20" xfId="0" applyFont="1" applyFill="1" applyBorder="1" applyAlignment="1" applyProtection="1">
      <alignment horizontal="center" vertical="center"/>
      <protection locked="0"/>
    </xf>
    <xf numFmtId="0" fontId="54" fillId="9" borderId="20" xfId="0" applyFont="1" applyFill="1" applyBorder="1" applyAlignment="1" applyProtection="1">
      <protection locked="0"/>
    </xf>
    <xf numFmtId="0" fontId="54" fillId="9" borderId="21" xfId="0" applyFont="1" applyFill="1" applyBorder="1" applyAlignment="1" applyProtection="1">
      <protection locked="0"/>
    </xf>
    <xf numFmtId="164" fontId="53" fillId="12" borderId="22" xfId="0" applyNumberFormat="1" applyFont="1" applyFill="1" applyBorder="1" applyAlignment="1" applyProtection="1">
      <alignment horizontal="center" vertical="center"/>
      <protection hidden="1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4" fontId="3" fillId="7" borderId="5" xfId="0" applyNumberFormat="1" applyFont="1" applyFill="1" applyBorder="1" applyAlignment="1" applyProtection="1">
      <alignment horizontal="center" vertical="center"/>
    </xf>
    <xf numFmtId="0" fontId="21" fillId="0" borderId="24" xfId="0" applyFont="1" applyBorder="1" applyAlignment="1">
      <alignment horizontal="center" vertical="center"/>
    </xf>
    <xf numFmtId="14" fontId="42" fillId="9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7" borderId="18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 applyProtection="1"/>
    <xf numFmtId="0" fontId="0" fillId="0" borderId="0" xfId="0" applyAlignment="1"/>
    <xf numFmtId="0" fontId="23" fillId="0" borderId="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7" borderId="28" xfId="0" applyFont="1" applyFill="1" applyBorder="1" applyAlignment="1" applyProtection="1">
      <alignment horizontal="center" vertical="center" wrapText="1"/>
      <protection hidden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4" fontId="55" fillId="7" borderId="0" xfId="0" applyNumberFormat="1" applyFont="1" applyFill="1" applyBorder="1" applyAlignment="1" applyProtection="1">
      <alignment horizontal="center" vertical="center"/>
    </xf>
    <xf numFmtId="14" fontId="55" fillId="0" borderId="10" xfId="0" applyNumberFormat="1" applyFont="1" applyBorder="1" applyAlignment="1">
      <alignment horizontal="center" vertical="center"/>
    </xf>
    <xf numFmtId="0" fontId="56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53" fillId="9" borderId="32" xfId="0" applyNumberFormat="1" applyFont="1" applyFill="1" applyBorder="1" applyAlignment="1" applyProtection="1">
      <alignment horizontal="center" vertical="center"/>
      <protection locked="0"/>
    </xf>
    <xf numFmtId="1" fontId="53" fillId="9" borderId="20" xfId="0" applyNumberFormat="1" applyFont="1" applyFill="1" applyBorder="1" applyAlignment="1" applyProtection="1">
      <alignment horizontal="center" vertical="center"/>
      <protection locked="0"/>
    </xf>
    <xf numFmtId="1" fontId="53" fillId="9" borderId="37" xfId="0" applyNumberFormat="1" applyFont="1" applyFill="1" applyBorder="1" applyAlignment="1" applyProtection="1">
      <alignment horizontal="center" vertical="center"/>
      <protection locked="0"/>
    </xf>
    <xf numFmtId="1" fontId="53" fillId="9" borderId="34" xfId="0" applyNumberFormat="1" applyFont="1" applyFill="1" applyBorder="1" applyAlignment="1" applyProtection="1">
      <alignment horizontal="center" vertical="center"/>
      <protection locked="0"/>
    </xf>
    <xf numFmtId="1" fontId="53" fillId="9" borderId="31" xfId="0" applyNumberFormat="1" applyFont="1" applyFill="1" applyBorder="1" applyAlignment="1" applyProtection="1">
      <alignment horizontal="center" vertical="center"/>
      <protection locked="0"/>
    </xf>
    <xf numFmtId="1" fontId="53" fillId="9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3" fillId="13" borderId="0" xfId="1" applyFont="1" applyFill="1" applyBorder="1" applyAlignment="1">
      <alignment horizontal="center" vertical="center"/>
    </xf>
    <xf numFmtId="0" fontId="3" fillId="13" borderId="31" xfId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10" borderId="35" xfId="0" applyFont="1" applyFill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right"/>
    </xf>
    <xf numFmtId="0" fontId="0" fillId="0" borderId="36" xfId="0" applyBorder="1" applyAlignment="1">
      <alignment horizontal="right"/>
    </xf>
    <xf numFmtId="0" fontId="32" fillId="0" borderId="0" xfId="0" applyFont="1" applyAlignment="1"/>
    <xf numFmtId="0" fontId="21" fillId="0" borderId="0" xfId="0" applyFont="1" applyAlignment="1"/>
    <xf numFmtId="0" fontId="52" fillId="9" borderId="52" xfId="0" applyFont="1" applyFill="1" applyBorder="1" applyAlignment="1" applyProtection="1">
      <alignment horizontal="center" vertical="center"/>
      <protection locked="0"/>
    </xf>
    <xf numFmtId="0" fontId="40" fillId="9" borderId="53" xfId="0" applyFont="1" applyFill="1" applyBorder="1" applyAlignment="1" applyProtection="1">
      <protection locked="0"/>
    </xf>
    <xf numFmtId="0" fontId="40" fillId="9" borderId="54" xfId="0" applyFont="1" applyFill="1" applyBorder="1" applyAlignment="1" applyProtection="1">
      <protection locked="0"/>
    </xf>
    <xf numFmtId="0" fontId="40" fillId="9" borderId="55" xfId="0" applyFont="1" applyFill="1" applyBorder="1" applyAlignment="1" applyProtection="1">
      <protection locked="0"/>
    </xf>
    <xf numFmtId="14" fontId="46" fillId="0" borderId="56" xfId="0" applyNumberFormat="1" applyFont="1" applyBorder="1" applyAlignment="1" applyProtection="1">
      <alignment horizontal="left"/>
    </xf>
    <xf numFmtId="0" fontId="46" fillId="0" borderId="56" xfId="0" applyFont="1" applyBorder="1" applyAlignment="1">
      <alignment horizontal="left"/>
    </xf>
    <xf numFmtId="1" fontId="24" fillId="0" borderId="57" xfId="1" applyNumberFormat="1" applyFont="1" applyBorder="1" applyAlignment="1" applyProtection="1">
      <alignment horizontal="center" vertical="center"/>
      <protection hidden="1"/>
    </xf>
    <xf numFmtId="1" fontId="24" fillId="0" borderId="58" xfId="1" applyNumberFormat="1" applyFont="1" applyBorder="1" applyAlignment="1" applyProtection="1">
      <alignment horizontal="center" vertical="center"/>
      <protection hidden="1"/>
    </xf>
    <xf numFmtId="1" fontId="24" fillId="0" borderId="0" xfId="1" applyNumberFormat="1" applyFont="1" applyBorder="1" applyAlignment="1" applyProtection="1">
      <alignment horizontal="center" vertical="center"/>
      <protection hidden="1"/>
    </xf>
    <xf numFmtId="1" fontId="24" fillId="0" borderId="31" xfId="1" applyNumberFormat="1" applyFont="1" applyBorder="1" applyAlignment="1" applyProtection="1">
      <alignment horizontal="center" vertical="center"/>
      <protection hidden="1"/>
    </xf>
    <xf numFmtId="0" fontId="3" fillId="10" borderId="14" xfId="0" applyFont="1" applyFill="1" applyBorder="1" applyAlignment="1" applyProtection="1">
      <alignment horizontal="right" vertical="center"/>
      <protection hidden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64" fontId="34" fillId="2" borderId="32" xfId="0" applyNumberFormat="1" applyFont="1" applyFill="1" applyBorder="1" applyAlignment="1" applyProtection="1">
      <alignment horizontal="center" vertical="center"/>
      <protection hidden="1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5 2" xfId="5"/>
  </cellStyles>
  <dxfs count="24">
    <dxf>
      <font>
        <color theme="9" tint="-0.24994659260841701"/>
      </font>
    </dxf>
    <dxf>
      <font>
        <color theme="9" tint="-0.24994659260841701"/>
      </font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color theme="0"/>
        <name val="Cambria"/>
        <scheme val="none"/>
      </font>
      <fill>
        <patternFill>
          <fgColor indexed="64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2"/>
      </font>
      <fill>
        <patternFill>
          <bgColor rgb="FFFF0000"/>
        </patternFill>
      </fill>
    </dxf>
    <dxf>
      <font>
        <color theme="2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008000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552451</xdr:colOff>
      <xdr:row>1</xdr:row>
      <xdr:rowOff>590550</xdr:rowOff>
    </xdr:to>
    <xdr:sp macro="" textlink="">
      <xdr:nvSpPr>
        <xdr:cNvPr id="7" name="ZoneTexte 6"/>
        <xdr:cNvSpPr txBox="1"/>
      </xdr:nvSpPr>
      <xdr:spPr>
        <a:xfrm>
          <a:off x="4543425" y="0"/>
          <a:ext cx="552451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 editAs="absolute">
    <xdr:from>
      <xdr:col>13</xdr:col>
      <xdr:colOff>190500</xdr:colOff>
      <xdr:row>0</xdr:row>
      <xdr:rowOff>0</xdr:rowOff>
    </xdr:from>
    <xdr:to>
      <xdr:col>16</xdr:col>
      <xdr:colOff>85725</xdr:colOff>
      <xdr:row>1</xdr:row>
      <xdr:rowOff>409575</xdr:rowOff>
    </xdr:to>
    <xdr:pic>
      <xdr:nvPicPr>
        <xdr:cNvPr id="1143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6350</xdr:colOff>
      <xdr:row>107</xdr:row>
      <xdr:rowOff>35032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7183100"/>
          <a:ext cx="1371600" cy="8446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14</xdr:row>
          <xdr:rowOff>47625</xdr:rowOff>
        </xdr:from>
        <xdr:to>
          <xdr:col>18</xdr:col>
          <xdr:colOff>190500</xdr:colOff>
          <xdr:row>14</xdr:row>
          <xdr:rowOff>295275</xdr:rowOff>
        </xdr:to>
        <xdr:sp macro="" textlink="">
          <xdr:nvSpPr>
            <xdr:cNvPr id="11360" name="Button 1120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Effacer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31</xdr:col>
      <xdr:colOff>200545</xdr:colOff>
      <xdr:row>0</xdr:row>
      <xdr:rowOff>19049</xdr:rowOff>
    </xdr:from>
    <xdr:to>
      <xdr:col>32</xdr:col>
      <xdr:colOff>342900</xdr:colOff>
      <xdr:row>1</xdr:row>
      <xdr:rowOff>390524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545" y="19049"/>
          <a:ext cx="72338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K55"/>
  <sheetViews>
    <sheetView tabSelected="1" zoomScaleNormal="100" workbookViewId="0">
      <pane xSplit="14" ySplit="3" topLeftCell="O4" activePane="bottomRight" state="frozen"/>
      <selection activeCell="N1" sqref="N1"/>
      <selection pane="topRight" activeCell="O1" sqref="O1"/>
      <selection pane="bottomLeft" activeCell="N3" sqref="N3"/>
      <selection pane="bottomRight" activeCell="AI1" sqref="AI1:BM1048576"/>
    </sheetView>
  </sheetViews>
  <sheetFormatPr baseColWidth="10" defaultRowHeight="12.75" x14ac:dyDescent="0.2"/>
  <cols>
    <col min="1" max="1" width="7.42578125" style="1" hidden="1" customWidth="1"/>
    <col min="2" max="2" width="3.85546875" style="1" hidden="1" customWidth="1"/>
    <col min="3" max="3" width="6" style="2" hidden="1" customWidth="1"/>
    <col min="4" max="4" width="11.140625" style="3" hidden="1" customWidth="1"/>
    <col min="5" max="5" width="5.7109375" style="4" hidden="1" customWidth="1"/>
    <col min="6" max="6" width="11.140625" style="3" hidden="1" customWidth="1"/>
    <col min="7" max="7" width="5.85546875" style="5" hidden="1" customWidth="1"/>
    <col min="8" max="8" width="11.140625" style="3" hidden="1" customWidth="1"/>
    <col min="9" max="9" width="5.85546875" style="5" hidden="1" customWidth="1"/>
    <col min="10" max="10" width="11.28515625" style="3" hidden="1" customWidth="1"/>
    <col min="11" max="11" width="2.42578125" style="3" hidden="1" customWidth="1"/>
    <col min="12" max="12" width="10.42578125" style="1" hidden="1" customWidth="1"/>
    <col min="13" max="13" width="11.28515625" style="1" hidden="1" customWidth="1"/>
    <col min="14" max="14" width="3.28515625" style="3" customWidth="1"/>
    <col min="15" max="15" width="4.5703125" style="3" customWidth="1"/>
    <col min="16" max="16" width="5.42578125" style="1" customWidth="1"/>
    <col min="17" max="17" width="5.85546875" style="1" customWidth="1"/>
    <col min="18" max="19" width="4.5703125" style="1" customWidth="1"/>
    <col min="20" max="20" width="1" style="1" customWidth="1"/>
    <col min="21" max="21" width="6.7109375" style="1" customWidth="1"/>
    <col min="22" max="23" width="5.5703125" style="1" customWidth="1"/>
    <col min="24" max="24" width="5.7109375" style="1" customWidth="1"/>
    <col min="25" max="25" width="5" style="1" customWidth="1"/>
    <col min="26" max="26" width="4.85546875" style="1" customWidth="1"/>
    <col min="27" max="27" width="6.28515625" style="1" customWidth="1"/>
    <col min="28" max="28" width="4.5703125" style="1" customWidth="1"/>
    <col min="29" max="29" width="5.140625" style="1" customWidth="1"/>
    <col min="30" max="30" width="7.42578125" style="1" customWidth="1"/>
    <col min="31" max="31" width="5.28515625" style="1" customWidth="1"/>
    <col min="32" max="32" width="8.7109375" style="1" customWidth="1"/>
    <col min="33" max="33" width="5.85546875" style="1" customWidth="1"/>
    <col min="34" max="34" width="3.140625" style="1" customWidth="1"/>
    <col min="35" max="35" width="14.28515625" style="1" hidden="1" customWidth="1"/>
    <col min="36" max="36" width="11.85546875" style="1" hidden="1" customWidth="1"/>
    <col min="37" max="37" width="0.85546875" style="1" hidden="1" customWidth="1"/>
    <col min="38" max="38" width="5.5703125" style="1" hidden="1" customWidth="1"/>
    <col min="39" max="39" width="2.5703125" style="1" hidden="1" customWidth="1"/>
    <col min="40" max="40" width="22.140625" style="1" hidden="1" customWidth="1"/>
    <col min="41" max="41" width="14" style="1" hidden="1" customWidth="1"/>
    <col min="42" max="42" width="7.5703125" style="1" hidden="1" customWidth="1"/>
    <col min="43" max="45" width="11.42578125" style="1" hidden="1" customWidth="1"/>
    <col min="46" max="46" width="13.5703125" style="1" hidden="1" customWidth="1"/>
    <col min="47" max="62" width="11.42578125" style="1" hidden="1" customWidth="1"/>
    <col min="63" max="65" width="0" style="1" hidden="1" customWidth="1"/>
    <col min="66" max="16384" width="11.42578125" style="1"/>
  </cols>
  <sheetData>
    <row r="1" spans="1:50" ht="27" customHeight="1" thickBot="1" x14ac:dyDescent="0.25">
      <c r="N1" s="59"/>
      <c r="Q1" s="196" t="s">
        <v>28</v>
      </c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34"/>
      <c r="AG1" s="135"/>
      <c r="AH1" s="59"/>
    </row>
    <row r="2" spans="1:50" ht="33.75" customHeight="1" thickBot="1" x14ac:dyDescent="0.3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9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36"/>
      <c r="AG2" s="137"/>
      <c r="AH2" s="69"/>
      <c r="AI2" s="194" t="s">
        <v>16</v>
      </c>
      <c r="AJ2" s="195"/>
      <c r="AK2" s="57"/>
      <c r="AL2" s="100"/>
      <c r="AM2" s="57"/>
      <c r="AP2" s="47"/>
    </row>
    <row r="3" spans="1:50" ht="29.25" customHeight="1" thickTop="1" thickBot="1" x14ac:dyDescent="0.25">
      <c r="A3" s="11"/>
      <c r="B3" s="12" t="s">
        <v>0</v>
      </c>
      <c r="C3" s="13"/>
      <c r="D3" s="14"/>
      <c r="E3" s="15"/>
      <c r="F3" s="14" t="s">
        <v>1</v>
      </c>
      <c r="G3" s="16"/>
      <c r="H3" s="14" t="s">
        <v>2</v>
      </c>
      <c r="I3" s="16"/>
      <c r="J3" s="14" t="s">
        <v>3</v>
      </c>
      <c r="K3" s="17"/>
      <c r="L3" s="18"/>
      <c r="M3" s="55"/>
      <c r="N3" s="60"/>
      <c r="O3" s="172" t="str">
        <f ca="1">IF(SUM($Z$7+($AC$7)/12)&gt;20,"  APPLICATION LIMITEE A :","LA VALEUR VENALE DE VOTRE VEHICULE EST:")</f>
        <v>LA VALEUR VENALE DE VOTRE VEHICULE EST:</v>
      </c>
      <c r="P3" s="173"/>
      <c r="Q3" s="173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208">
        <f ca="1">IF(AJ5&gt;O7,IF($Z$7+($AC$7/12)&gt;20,"20 Ans",IF($O$4="VOITURE",$AN$15,$AN$20)),"")</f>
        <v>29000</v>
      </c>
      <c r="AD3" s="209"/>
      <c r="AE3" s="209"/>
      <c r="AF3" s="209"/>
      <c r="AG3" s="210"/>
      <c r="AH3" s="69"/>
      <c r="AI3" s="32" t="s">
        <v>9</v>
      </c>
      <c r="AJ3" s="131">
        <f ca="1">TODAY()</f>
        <v>46073</v>
      </c>
      <c r="AK3" s="89"/>
      <c r="AL3" s="88"/>
      <c r="AM3" s="57"/>
      <c r="AQ3" s="219"/>
      <c r="AR3" s="220"/>
      <c r="AS3" s="220"/>
      <c r="AT3" s="220"/>
      <c r="AU3" s="220"/>
      <c r="AV3" s="220"/>
    </row>
    <row r="4" spans="1:50" ht="16.5" customHeight="1" thickTop="1" x14ac:dyDescent="0.25">
      <c r="A4" s="19" t="s">
        <v>4</v>
      </c>
      <c r="B4" s="20">
        <f ca="1">IF(Z7=0,AC7,0)</f>
        <v>0</v>
      </c>
      <c r="C4" s="21"/>
      <c r="D4" s="22" t="str">
        <f ca="1">IF(B4&gt;0,(O13)-(O13-D5)/12*B4," ")</f>
        <v xml:space="preserve"> </v>
      </c>
      <c r="E4" s="23"/>
      <c r="F4" s="22" t="str">
        <f ca="1">IF(B4&gt;0,(O13)-(O13-F5)/12*B4," ")</f>
        <v xml:space="preserve"> </v>
      </c>
      <c r="G4" s="24"/>
      <c r="H4" s="22" t="str">
        <f ca="1">IF(B4&gt;0,(O13)-(O13-H5)/12*B4," ")</f>
        <v xml:space="preserve"> </v>
      </c>
      <c r="I4" s="24"/>
      <c r="J4" s="22" t="str">
        <f ca="1">IF(B4&gt;0,(O13)-(O13-J5)/12*B4," ")</f>
        <v xml:space="preserve"> </v>
      </c>
      <c r="K4" s="25"/>
      <c r="L4" s="18" t="str">
        <f ca="1">IF($Y$7=0,IF($AF$11=1,D4,IF($AF$11=2,F4,IF($AF$11=3,H4,IF($AF$11=4,J4)))),"")</f>
        <v xml:space="preserve"> </v>
      </c>
      <c r="M4" s="50" t="str">
        <f ca="1">IF(Z7=0,IF(AF11=1,F4,IF(AF11=2,H4,IF(AF11=3,J4,IF(AF11=4,J4)))),"")</f>
        <v/>
      </c>
      <c r="N4" s="61"/>
      <c r="O4" s="205" t="s">
        <v>14</v>
      </c>
      <c r="P4" s="206"/>
      <c r="Q4" s="206"/>
      <c r="R4" s="206"/>
      <c r="S4" s="206"/>
      <c r="T4" s="206"/>
      <c r="U4" s="206"/>
      <c r="V4" s="221" t="str">
        <f>IF(O4="VOITURE", "Berline, Break, Sport, Utilitaire, SUV etc.","Camion,Trac.Routier,Camionnette, etc.")</f>
        <v>Berline, Break, Sport, Utilitaire, SUV etc.</v>
      </c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222"/>
      <c r="AH4" s="69"/>
      <c r="AI4" s="33" t="s">
        <v>10</v>
      </c>
      <c r="AJ4" s="133">
        <v>46142</v>
      </c>
      <c r="AK4" s="58"/>
      <c r="AL4" s="88"/>
      <c r="AM4" s="57"/>
      <c r="AT4" s="117"/>
      <c r="AU4" s="117"/>
      <c r="AV4" s="117"/>
    </row>
    <row r="5" spans="1:50" ht="12.75" customHeight="1" thickBot="1" x14ac:dyDescent="0.3">
      <c r="A5" s="26" t="s">
        <v>5</v>
      </c>
      <c r="B5" s="27">
        <v>1</v>
      </c>
      <c r="C5" s="95"/>
      <c r="D5" s="28">
        <f ca="1">IF(F5&lt;&gt;0,(ROUND(SUM(F5)-(SQRT(21-B5)/2)*1000,0)),0)</f>
        <v>32892</v>
      </c>
      <c r="E5" s="94"/>
      <c r="F5" s="28">
        <f ca="1">IF(H5&lt;&gt;0,(ROUND(SUM(H5)-(SQRT(21-B5)/2)*1000,0)),0)</f>
        <v>35128</v>
      </c>
      <c r="G5" s="93"/>
      <c r="H5" s="28">
        <f ca="1">IF(J5&lt;&gt;0,(ROUND(SUM(J5)-(SQRT(21-B5)/2)*1000,0)),0)</f>
        <v>37364</v>
      </c>
      <c r="I5" s="96">
        <v>90</v>
      </c>
      <c r="J5" s="104">
        <f ca="1">SUM(O13)*I5/100</f>
        <v>39600</v>
      </c>
      <c r="K5" s="17"/>
      <c r="L5" s="18" t="str">
        <f ca="1">IF(Z7=1,IF($AC$7&lt;&gt;0," ",IF($AF$11=1,D5,IF($AF$11=2,F5,IF($AF$11=3,H5,IF($AF$11=4,J5))))),"00")</f>
        <v>00</v>
      </c>
      <c r="M5" s="50" t="str">
        <f ca="1">IF($Z$7=1,IF($AC$7&lt;&gt;0," ",IF($AF$11=1,$F$5,IF($AF$11=2,$H$5,IF($AF$11=3,$J$5,IF($AF$11=4,$J$5))))),"00")</f>
        <v>00</v>
      </c>
      <c r="N5" s="61"/>
      <c r="O5" s="207"/>
      <c r="P5" s="207"/>
      <c r="Q5" s="207"/>
      <c r="R5" s="207"/>
      <c r="S5" s="207"/>
      <c r="T5" s="207"/>
      <c r="U5" s="207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4"/>
      <c r="AH5" s="69"/>
      <c r="AI5" s="32" t="s">
        <v>18</v>
      </c>
      <c r="AJ5" s="132">
        <f ca="1">IF(U7&lt;&gt;"",U7,AE7)</f>
        <v>46073</v>
      </c>
      <c r="AK5" s="58"/>
      <c r="AL5" s="88"/>
      <c r="AM5" s="57"/>
      <c r="AT5" s="123"/>
      <c r="AU5" s="123"/>
      <c r="AV5" s="123"/>
    </row>
    <row r="6" spans="1:50" ht="27" customHeight="1" x14ac:dyDescent="0.25">
      <c r="A6" s="19" t="s">
        <v>4</v>
      </c>
      <c r="B6" s="20">
        <f ca="1">IF(Z7=1,AC7,0)</f>
        <v>0</v>
      </c>
      <c r="C6" s="95"/>
      <c r="D6" s="22" t="str">
        <f ca="1">IF(B6&gt;0,(D5)-(D5-D7)/12*B6," ")</f>
        <v xml:space="preserve"> </v>
      </c>
      <c r="E6" s="94"/>
      <c r="F6" s="22" t="str">
        <f ca="1">IF(B6&gt;0,(F5)-(F5-F7)/12*B6," ")</f>
        <v xml:space="preserve"> </v>
      </c>
      <c r="G6" s="93"/>
      <c r="H6" s="22" t="str">
        <f ca="1">IF(B6&gt;0,(H5)-(H5-H7)/12*B6," ")</f>
        <v xml:space="preserve"> </v>
      </c>
      <c r="I6" s="97"/>
      <c r="J6" s="104" t="str">
        <f ca="1">IF(B6&gt;0,(J5)-(J5-J7)/12*B6," ")</f>
        <v xml:space="preserve"> </v>
      </c>
      <c r="K6" s="29"/>
      <c r="L6" s="18" t="str">
        <f ca="1">IF(Z7=1,IF($AC$7=0," ",IF(AF11=1,D6,IF(AF11=2,F6,IF(AF11=3,H6,IF(AF11=4,J6))))),"")</f>
        <v/>
      </c>
      <c r="M6" s="50" t="str">
        <f ca="1">IF($Z$7=1,IF($AC$7=0," ",IF($AF$11=1,F6,IF($AF$11=2,H6,IF($AF$11=3,J6,IF($AF$11=4,J6))))),"")</f>
        <v/>
      </c>
      <c r="N6" s="61"/>
      <c r="O6" s="199" t="s">
        <v>6</v>
      </c>
      <c r="P6" s="200"/>
      <c r="Q6" s="200"/>
      <c r="R6" s="200"/>
      <c r="S6" s="201"/>
      <c r="T6" s="92" t="str">
        <f ca="1">IF(AE7&lt;U7,"&lt;","")</f>
        <v/>
      </c>
      <c r="U6" s="225" t="s">
        <v>23</v>
      </c>
      <c r="V6" s="226"/>
      <c r="W6" s="226"/>
      <c r="X6" s="227"/>
      <c r="Y6" s="216" t="s">
        <v>7</v>
      </c>
      <c r="Z6" s="217"/>
      <c r="AA6" s="217"/>
      <c r="AB6" s="217"/>
      <c r="AC6" s="217"/>
      <c r="AD6" s="218"/>
      <c r="AE6" s="211" t="str">
        <f>"Date du jour"</f>
        <v>Date du jour</v>
      </c>
      <c r="AF6" s="211"/>
      <c r="AG6" s="212"/>
      <c r="AH6" s="69"/>
      <c r="AJ6" s="132"/>
      <c r="AK6" s="58"/>
      <c r="AL6" s="88"/>
      <c r="AM6" s="57"/>
      <c r="AO6" s="3"/>
      <c r="AT6" s="123"/>
    </row>
    <row r="7" spans="1:50" ht="16.5" customHeight="1" x14ac:dyDescent="0.25">
      <c r="A7" s="26" t="s">
        <v>5</v>
      </c>
      <c r="B7" s="27">
        <v>2</v>
      </c>
      <c r="C7" s="95"/>
      <c r="D7" s="28">
        <f ca="1">IF(F7&lt;&gt;0,(ROUND(SUM(F7)-(SQRT(21-B7)/2)*1000,0)),0)</f>
        <v>30423</v>
      </c>
      <c r="E7" s="94"/>
      <c r="F7" s="28">
        <f ca="1">IF(H7&lt;&gt;0,(ROUND(SUM(H7)-(SQRT(21-B7)/2)*1000,0)),0)</f>
        <v>32602</v>
      </c>
      <c r="G7" s="93"/>
      <c r="H7" s="28">
        <f ca="1">IF(J7&lt;&gt;0,(ROUND(SUM(J7)-(SQRT(21-B7)/2)*1000,0)),0)</f>
        <v>34781</v>
      </c>
      <c r="I7" s="96">
        <v>84</v>
      </c>
      <c r="J7" s="104">
        <f ca="1">SUM(O13)*I7/100</f>
        <v>36960</v>
      </c>
      <c r="K7" s="17"/>
      <c r="L7" s="18" t="str">
        <f ca="1">IF(Z7=2,IF(AC7&lt;&gt;0," ",IF(AF11=1,D7,IF(AF11=2,F7,IF(AF11=3,H7,IF(AF11=4,J7))))),"00")</f>
        <v>00</v>
      </c>
      <c r="M7" s="50" t="str">
        <f ca="1">IF($Z$7=2,IF($AC$7&lt;&gt;0," ",IF($AF$11=1,$F$7,IF($AF$11=2,$H$7,IF($AF$11=3,$J$7,IF($AF$11=4,$J$7))))),"00")</f>
        <v>00</v>
      </c>
      <c r="N7" s="59"/>
      <c r="O7" s="202">
        <v>44562</v>
      </c>
      <c r="P7" s="203"/>
      <c r="Q7" s="203"/>
      <c r="R7" s="203"/>
      <c r="S7" s="204"/>
      <c r="T7" s="34"/>
      <c r="U7" s="213"/>
      <c r="V7" s="214"/>
      <c r="W7" s="214"/>
      <c r="X7" s="215"/>
      <c r="Y7" s="142"/>
      <c r="Z7" s="138">
        <f ca="1">IF(O7="",0,DATEDIF(O7,AJ5,"y"))</f>
        <v>4</v>
      </c>
      <c r="AA7" s="139" t="s">
        <v>8</v>
      </c>
      <c r="AB7" s="140" t="s">
        <v>12</v>
      </c>
      <c r="AC7" s="138">
        <f ca="1">IF(O7="",0,DATEDIF(O7,AJ5,"ym"))</f>
        <v>1</v>
      </c>
      <c r="AD7" s="141" t="s">
        <v>4</v>
      </c>
      <c r="AE7" s="228">
        <f ca="1">TODAY()</f>
        <v>46073</v>
      </c>
      <c r="AF7" s="228"/>
      <c r="AG7" s="229"/>
      <c r="AH7" s="70"/>
      <c r="AJ7" s="3"/>
      <c r="AK7" s="58"/>
      <c r="AL7" s="88"/>
      <c r="AM7" s="57"/>
      <c r="AN7" s="35">
        <f ca="1">SUM(($Z$7*12)+$AC$7)/10</f>
        <v>4.9000000000000004</v>
      </c>
      <c r="AO7" s="36"/>
      <c r="AT7" s="124"/>
    </row>
    <row r="8" spans="1:50" ht="29.25" customHeight="1" thickBot="1" x14ac:dyDescent="0.3">
      <c r="A8" s="19" t="s">
        <v>4</v>
      </c>
      <c r="B8" s="20">
        <f ca="1">IF(Z7=2,AC7,0)</f>
        <v>0</v>
      </c>
      <c r="C8" s="95"/>
      <c r="D8" s="22" t="str">
        <f ca="1">IF(B8&gt;0,(D7)-(D7-D9)/12*B8," ")</f>
        <v xml:space="preserve"> </v>
      </c>
      <c r="E8" s="94"/>
      <c r="F8" s="22" t="str">
        <f ca="1">IF(B8&gt;0,(F7)-(F7-F9)/12*B8," ")</f>
        <v xml:space="preserve"> </v>
      </c>
      <c r="G8" s="93"/>
      <c r="H8" s="22" t="str">
        <f ca="1">IF(B8&gt;0,(H7)-(H7-H9)/12*B8," ")</f>
        <v xml:space="preserve"> </v>
      </c>
      <c r="I8" s="98"/>
      <c r="J8" s="104" t="str">
        <f ca="1">IF(B8&gt;0,(J7)-(J7-J9)/12*B8," ")</f>
        <v xml:space="preserve"> </v>
      </c>
      <c r="K8" s="29"/>
      <c r="L8" s="18" t="str">
        <f ca="1">IF(Z7=2,IF(AC7=0," ",IF(AF11=1,D8,IF(AF11=2,F8,IF(AF11=3,H8,IF(AF11=4,J8))))),"")</f>
        <v/>
      </c>
      <c r="M8" s="50" t="str">
        <f ca="1">IF($Z$7=2,IF($AC$7=0," ",IF($AF$11=1,$F$8,IF($AF$11=2,$H$8,IF($AF$11=3,$J$8,IF($AF$11=4,$J$8))))),"")</f>
        <v/>
      </c>
      <c r="N8" s="62"/>
      <c r="O8" s="182" t="s">
        <v>20</v>
      </c>
      <c r="P8" s="183"/>
      <c r="Q8" s="183"/>
      <c r="R8" s="183"/>
      <c r="S8" s="184"/>
      <c r="T8" s="146"/>
      <c r="U8" s="182" t="s">
        <v>24</v>
      </c>
      <c r="V8" s="183"/>
      <c r="W8" s="183"/>
      <c r="X8" s="184"/>
      <c r="Y8" s="230" t="s">
        <v>22</v>
      </c>
      <c r="Z8" s="163"/>
      <c r="AA8" s="163"/>
      <c r="AB8" s="163"/>
      <c r="AC8" s="163"/>
      <c r="AD8" s="175">
        <f ca="1">AJ5</f>
        <v>46073</v>
      </c>
      <c r="AE8" s="176"/>
      <c r="AF8" s="176"/>
      <c r="AG8" s="176"/>
      <c r="AH8" s="70"/>
      <c r="AI8" s="132"/>
      <c r="AJ8" s="132"/>
      <c r="AK8" s="58"/>
      <c r="AL8" s="88"/>
      <c r="AM8" s="57"/>
      <c r="AN8" s="37"/>
      <c r="AT8" s="124"/>
    </row>
    <row r="9" spans="1:50" ht="10.5" customHeight="1" thickTop="1" x14ac:dyDescent="0.25">
      <c r="A9" s="26" t="s">
        <v>5</v>
      </c>
      <c r="B9" s="27">
        <v>3</v>
      </c>
      <c r="C9" s="95"/>
      <c r="D9" s="28">
        <f ca="1">IF(F9&lt;&gt;0,(ROUND(SUM(F9)-(SQRT(21-B9)/2)*1000,0)),0)</f>
        <v>27517</v>
      </c>
      <c r="E9" s="94"/>
      <c r="F9" s="28">
        <f ca="1">IF(H9&lt;&gt;0,(ROUND(SUM(H9)-(SQRT(21-B9)/2)*1000,0)),0)</f>
        <v>29638</v>
      </c>
      <c r="G9" s="93"/>
      <c r="H9" s="28">
        <f ca="1">IF(J9&lt;&gt;0,(ROUND(SUM(J9)-(SQRT(21-B9)/2)*1000,0)),0)</f>
        <v>31759</v>
      </c>
      <c r="I9" s="96">
        <v>77</v>
      </c>
      <c r="J9" s="104">
        <f ca="1">SUM(O13)*I9/100</f>
        <v>33880</v>
      </c>
      <c r="K9" s="17"/>
      <c r="L9" s="18" t="str">
        <f ca="1">IF(Z7=3,IF(AC7&lt;&gt;0," ",IF(AF11=1,D9,IF(AF11=2,F9,IF(AF11=3,H9,IF(AF11=4,J9))))),"00")</f>
        <v>00</v>
      </c>
      <c r="M9" s="50" t="str">
        <f ca="1">IF($Z$7=3,IF($AC$7&lt;&gt;0," ",IF($AF$11=1,F9,IF($AF$11=2,$H$9,IF($AF$11=3,$J$9,IF($AF$11=4,$J$9))))),"00")</f>
        <v>00</v>
      </c>
      <c r="N9" s="62"/>
      <c r="O9" s="179">
        <v>40000</v>
      </c>
      <c r="P9" s="180"/>
      <c r="Q9" s="180"/>
      <c r="R9" s="180"/>
      <c r="S9" s="180"/>
      <c r="T9" s="147"/>
      <c r="U9" s="233">
        <v>2024</v>
      </c>
      <c r="V9" s="234"/>
      <c r="W9" s="234"/>
      <c r="X9" s="235"/>
      <c r="Y9" s="231"/>
      <c r="Z9" s="232"/>
      <c r="AA9" s="232"/>
      <c r="AB9" s="232"/>
      <c r="AC9" s="232"/>
      <c r="AD9" s="177"/>
      <c r="AE9" s="177"/>
      <c r="AF9" s="177"/>
      <c r="AG9" s="177"/>
      <c r="AH9" s="70"/>
      <c r="AI9" s="219"/>
      <c r="AK9" s="58"/>
      <c r="AL9" s="88"/>
      <c r="AM9" s="57"/>
      <c r="AN9" s="38" t="s">
        <v>6</v>
      </c>
      <c r="AT9" s="124"/>
    </row>
    <row r="10" spans="1:50" ht="13.5" customHeight="1" thickBot="1" x14ac:dyDescent="0.3">
      <c r="A10" s="19" t="s">
        <v>4</v>
      </c>
      <c r="B10" s="20">
        <f ca="1">IF(Z7=3,AC7,0)</f>
        <v>0</v>
      </c>
      <c r="C10" s="95"/>
      <c r="D10" s="22" t="str">
        <f ca="1">+IF(B10&gt;0,(D9)-(D9-D11)/12*B10," ")</f>
        <v xml:space="preserve"> </v>
      </c>
      <c r="E10" s="94"/>
      <c r="F10" s="22" t="str">
        <f ca="1">IF(B10&gt;0,(F9)-(F9-F11)/12*B10," ")</f>
        <v xml:space="preserve"> </v>
      </c>
      <c r="G10" s="93"/>
      <c r="H10" s="22" t="str">
        <f ca="1">IF(B10&gt;0,(H9)-(H9-H11)/12*B10," ")</f>
        <v xml:space="preserve"> </v>
      </c>
      <c r="I10" s="98"/>
      <c r="J10" s="104" t="str">
        <f ca="1">IF(B10&gt;0,(J9)-(J9-J11)/12*B10," ")</f>
        <v xml:space="preserve"> </v>
      </c>
      <c r="K10" s="29"/>
      <c r="L10" s="18" t="str">
        <f ca="1">IF(Z7=3,IF(AC7=0," ",IF(AF11=1,D10,IF(AF11=2,F10,IF(AF11=3,H10,IF(AF11=4,J10))))),"")</f>
        <v/>
      </c>
      <c r="M10" s="50" t="str">
        <f ca="1">IF($Z$7=3,IF($AC$7=0," ",IF($AF$11=1,$F$10,IF($AF$11=2,$H$10,IF($AF$11=3,$J$10,IF($AF$11=4,$J$10))))),"")</f>
        <v/>
      </c>
      <c r="N10" s="63"/>
      <c r="O10" s="181"/>
      <c r="P10" s="180"/>
      <c r="Q10" s="180"/>
      <c r="R10" s="180"/>
      <c r="S10" s="180"/>
      <c r="T10" s="148"/>
      <c r="U10" s="236"/>
      <c r="V10" s="237"/>
      <c r="W10" s="237"/>
      <c r="X10" s="238"/>
      <c r="Y10" s="164"/>
      <c r="Z10" s="165"/>
      <c r="AA10" s="165"/>
      <c r="AB10" s="165"/>
      <c r="AC10" s="165"/>
      <c r="AD10" s="178"/>
      <c r="AE10" s="178"/>
      <c r="AF10" s="178"/>
      <c r="AG10" s="178"/>
      <c r="AH10" s="70"/>
      <c r="AI10" s="220"/>
      <c r="AJ10" s="1">
        <f>IF(U9&lt;&gt;"",U9,YEAR(AJ5))</f>
        <v>2024</v>
      </c>
      <c r="AK10" s="58"/>
      <c r="AL10" s="88"/>
      <c r="AM10" s="57"/>
      <c r="AT10" s="124"/>
    </row>
    <row r="11" spans="1:50" ht="12.75" customHeight="1" thickTop="1" x14ac:dyDescent="0.25">
      <c r="A11" s="26" t="s">
        <v>5</v>
      </c>
      <c r="B11" s="27">
        <v>4</v>
      </c>
      <c r="C11" s="95"/>
      <c r="D11" s="28">
        <f ca="1">IF(F11&lt;&gt;0,(ROUND(SUM(F11)-(SQRT(21-B11)/2)*1000,0)),0)</f>
        <v>24614</v>
      </c>
      <c r="E11" s="94"/>
      <c r="F11" s="28">
        <f ca="1">IF(H11&lt;&gt;0,(ROUND(SUM(H11)-(SQRT(21-B11)/2)*1000,0)),0)</f>
        <v>26676</v>
      </c>
      <c r="G11" s="93"/>
      <c r="H11" s="28">
        <f ca="1">IF(J11&lt;&gt;0,(ROUND(SUM(J11)-(SQRT(21-B11)/2)*1000,0)),0)</f>
        <v>28738</v>
      </c>
      <c r="I11" s="96">
        <v>70</v>
      </c>
      <c r="J11" s="104">
        <f ca="1">SUM(O13)*I11/100</f>
        <v>30800</v>
      </c>
      <c r="K11" s="17"/>
      <c r="L11" s="18" t="str">
        <f ca="1">IF(Z7=4,IF(AC7&lt;&gt;0," ",IF(AF11=1,D11,IF(AF11=2,F11,IF(AF11=3,H11,IF(AF11=4,J11))))),"00")</f>
        <v xml:space="preserve"> </v>
      </c>
      <c r="M11" s="50" t="str">
        <f ca="1">IF($Z$7=4,IF($AC$7&lt;&gt;0," ",IF($AF$11=1,$F$11,IF($AF$11=2,H11,IF($AF$11=3,$J$11,IF($AF$11=4,$J$11))))),"00")</f>
        <v xml:space="preserve"> </v>
      </c>
      <c r="N11" s="64"/>
      <c r="O11" s="188" t="s">
        <v>19</v>
      </c>
      <c r="P11" s="189"/>
      <c r="Q11" s="189"/>
      <c r="R11" s="189"/>
      <c r="S11" s="190"/>
      <c r="T11" s="146"/>
      <c r="U11" s="162" t="s">
        <v>11</v>
      </c>
      <c r="V11" s="163"/>
      <c r="W11" s="163"/>
      <c r="X11" s="163"/>
      <c r="Y11" s="163"/>
      <c r="Z11" s="163"/>
      <c r="AA11" s="163"/>
      <c r="AB11" s="163"/>
      <c r="AC11" s="163"/>
      <c r="AD11" s="163"/>
      <c r="AF11" s="185">
        <v>3</v>
      </c>
      <c r="AG11" s="186"/>
      <c r="AH11" s="70"/>
      <c r="AK11" s="58"/>
      <c r="AL11" s="88"/>
      <c r="AM11" s="57"/>
      <c r="AN11" s="73" t="s">
        <v>14</v>
      </c>
    </row>
    <row r="12" spans="1:50" ht="12" customHeight="1" x14ac:dyDescent="0.25">
      <c r="A12" s="19" t="s">
        <v>4</v>
      </c>
      <c r="B12" s="20">
        <f ca="1">IF(Z7=4,AC7,0)</f>
        <v>1</v>
      </c>
      <c r="C12" s="95"/>
      <c r="D12" s="22">
        <f ca="1">IF(B12&gt;0,(D11)-(D11-D13)/12*B12," ")</f>
        <v>24446.166666666668</v>
      </c>
      <c r="E12" s="94"/>
      <c r="F12" s="22">
        <f ca="1">IF(B12&gt;0,(F11)-(F11-F13)/12*B12," ")</f>
        <v>26503</v>
      </c>
      <c r="G12" s="93"/>
      <c r="H12" s="22">
        <f ca="1">IF(B12&gt;0,(H11)-(H11-H13)/12*B12," ")</f>
        <v>28559.833333333332</v>
      </c>
      <c r="I12" s="98"/>
      <c r="J12" s="104">
        <f ca="1">IF(B12&gt;0,(J11)-(J11-J13)/12*B12," ")</f>
        <v>30616.666666666668</v>
      </c>
      <c r="K12" s="29"/>
      <c r="L12" s="18">
        <f ca="1">IF(Z7=4,IF(AC7=0," ",IF(AF11=1,D12,IF(AF11=2,F12,IF(AF11=3,H12,IF(AF11=4,J12))))),"")</f>
        <v>28559.833333333332</v>
      </c>
      <c r="M12" s="50">
        <f ca="1">IF($Z$7=4,IF($AC$7=0," ",IF($AF$11=1,$F$12,IF($AF$11=2,$H$12,IF($AF$11=3,$J$12,IF($AF$11=4,$J$12))))),"")</f>
        <v>30616.666666666668</v>
      </c>
      <c r="N12" s="65"/>
      <c r="O12" s="191"/>
      <c r="P12" s="192"/>
      <c r="Q12" s="192"/>
      <c r="R12" s="192"/>
      <c r="S12" s="193"/>
      <c r="T12" s="146"/>
      <c r="U12" s="164"/>
      <c r="V12" s="165"/>
      <c r="W12" s="165"/>
      <c r="X12" s="165"/>
      <c r="Y12" s="165"/>
      <c r="Z12" s="165"/>
      <c r="AA12" s="165"/>
      <c r="AB12" s="165"/>
      <c r="AC12" s="165"/>
      <c r="AD12" s="165"/>
      <c r="AE12" s="143"/>
      <c r="AF12" s="187"/>
      <c r="AG12" s="186"/>
      <c r="AH12" s="70"/>
      <c r="AK12" s="58"/>
      <c r="AL12" s="88"/>
      <c r="AM12" s="57"/>
      <c r="AN12" s="74">
        <f ca="1">IF(($Z$7+($AC$7)/12)&gt;20,0,ROUND(SUM($L$4:$L$45),))</f>
        <v>28560</v>
      </c>
      <c r="AO12" s="39"/>
      <c r="AW12" s="126"/>
      <c r="AX12" s="126"/>
    </row>
    <row r="13" spans="1:50" ht="12.75" customHeight="1" x14ac:dyDescent="0.25">
      <c r="A13" s="26" t="s">
        <v>5</v>
      </c>
      <c r="B13" s="27">
        <v>5</v>
      </c>
      <c r="C13" s="95"/>
      <c r="D13" s="28">
        <f ca="1">IF(F13&lt;&gt;0,(ROUND(SUM(F13)-(SQRT(21-B13)/2)*1000,0)),0)</f>
        <v>22600</v>
      </c>
      <c r="E13" s="94"/>
      <c r="F13" s="28">
        <f ca="1">IF(H13&lt;&gt;0,(ROUND(SUM(H13)-(SQRT(21-B13)/2)*1000,0)),0)</f>
        <v>24600</v>
      </c>
      <c r="G13" s="93"/>
      <c r="H13" s="28">
        <f ca="1">IF(J13&lt;&gt;0,(ROUND(SUM(J13)-(SQRT(21-B13)/2)*1000,0)),0)</f>
        <v>26600</v>
      </c>
      <c r="I13" s="96">
        <v>65</v>
      </c>
      <c r="J13" s="104">
        <f ca="1">SUM(O13)*I13/100</f>
        <v>28600</v>
      </c>
      <c r="K13" s="17"/>
      <c r="L13" s="18" t="str">
        <f ca="1">IF(Z7=5,IF(AC7&lt;&gt;0," ",IF(AF11=1,D13,IF(AF11=2,F13,IF(AF11=3,H13,IF(AF11=4,J13))))),"00")</f>
        <v>00</v>
      </c>
      <c r="M13" s="50" t="str">
        <f ca="1">IF($Z$7=5,IF($AC$7&lt;&gt;0," ",IF($AF$11=1,$F$13,IF($AF$11=2,$H$13,IF($AF$11=3,$J$13,IF($AF$11=4,$J$13))))),"00")</f>
        <v>00</v>
      </c>
      <c r="N13" s="66"/>
      <c r="O13" s="262">
        <f ca="1">IF(AJ3&lt;=AJ4,IF(AND(AQ27&gt;=2007,AQ27&lt;=2013),ROUND(SUM(AR27),-3),IF(AND(AQ27&gt;=2014,AQ27&lt;=2020),ROUND(SUM(AS27),-3),IF(AQ27&gt;2020,ROUND(SUM(AT27),-3),0))),"DATE EXPIREE")</f>
        <v>44000</v>
      </c>
      <c r="P13" s="176"/>
      <c r="Q13" s="176"/>
      <c r="R13" s="176"/>
      <c r="S13" s="263"/>
      <c r="T13" s="149"/>
      <c r="U13" s="166" t="str">
        <f>IF(OR($AF$11=4,$AF$11&lt;1),""," Voulez vous une cotation entre ")</f>
        <v xml:space="preserve"> Voulez vous une cotation entre </v>
      </c>
      <c r="V13" s="167"/>
      <c r="W13" s="167"/>
      <c r="X13" s="167"/>
      <c r="Y13" s="167"/>
      <c r="Z13" s="167"/>
      <c r="AA13" s="168"/>
      <c r="AB13" s="255">
        <f>IF(OR($AF$11=4,$AF$11&lt;1),"",SUM($AF$11))</f>
        <v>3</v>
      </c>
      <c r="AC13" s="240" t="str">
        <f>IF(OR($AF$11=4,$AF$11&lt;1),"","et ")</f>
        <v xml:space="preserve">et </v>
      </c>
      <c r="AD13" s="257">
        <f>IF(OR($AF$11=4,$AF$11&lt;1),"",SUM($AF$11+1))</f>
        <v>4</v>
      </c>
      <c r="AE13" s="144"/>
      <c r="AF13" s="249" t="s">
        <v>21</v>
      </c>
      <c r="AG13" s="250"/>
      <c r="AH13" s="70"/>
      <c r="AK13" s="58"/>
      <c r="AL13" s="88"/>
      <c r="AM13" s="57"/>
      <c r="AN13" s="77">
        <f ca="1">IF(OR(AF13="Non",$AN$12="",$AF$11=4,($Z$7+($AC$7))/12&gt;20),0,ROUND(SUM($M$46-$L$46),)/2)</f>
        <v>0</v>
      </c>
      <c r="AO13" s="40"/>
      <c r="AW13" s="125"/>
      <c r="AX13" s="126"/>
    </row>
    <row r="14" spans="1:50" ht="11.25" customHeight="1" x14ac:dyDescent="0.4">
      <c r="A14" s="19" t="s">
        <v>4</v>
      </c>
      <c r="B14" s="20">
        <f ca="1">IF(Z7=5,AC7,0)</f>
        <v>0</v>
      </c>
      <c r="C14" s="95"/>
      <c r="D14" s="22" t="str">
        <f ca="1">IF(B14&gt;0,(D13)-(D13-D15)/12*B14," ")</f>
        <v xml:space="preserve"> </v>
      </c>
      <c r="E14" s="94"/>
      <c r="F14" s="22" t="str">
        <f ca="1">IF(B14&gt;0,(F13)-(F13-F15)/12*B14," ")</f>
        <v xml:space="preserve"> </v>
      </c>
      <c r="G14" s="93"/>
      <c r="H14" s="22" t="str">
        <f ca="1">IF(B14&gt;0,(H13)-(H13-H15)/12*B14," ")</f>
        <v xml:space="preserve"> </v>
      </c>
      <c r="I14" s="98"/>
      <c r="J14" s="104" t="str">
        <f ca="1">IF(B14&gt;0,(J13)-(J13-J15)/12*B14," ")</f>
        <v xml:space="preserve"> </v>
      </c>
      <c r="K14" s="29"/>
      <c r="L14" s="18" t="str">
        <f ca="1">IF(Z7=5,IF(AC7=0," ",IF(AF11=1,D14,IF(AF11=2,F14,IF(AF11=3,H14,IF(AF11=4,J14))))),"")</f>
        <v/>
      </c>
      <c r="M14" s="50" t="str">
        <f ca="1">IF($Z$7=5,IF($AC$7=0," ",IF($AF$11=1,$F$14,IF($AF$11=2,$H$14,IF($AF$11=3,$J$14,IF($AF$11=4,$J$14))))),"")</f>
        <v/>
      </c>
      <c r="N14" s="67"/>
      <c r="O14" s="264"/>
      <c r="P14" s="265"/>
      <c r="Q14" s="265"/>
      <c r="R14" s="265"/>
      <c r="S14" s="266"/>
      <c r="T14" s="150"/>
      <c r="U14" s="169"/>
      <c r="V14" s="170"/>
      <c r="W14" s="170"/>
      <c r="X14" s="170"/>
      <c r="Y14" s="170"/>
      <c r="Z14" s="170"/>
      <c r="AA14" s="171"/>
      <c r="AB14" s="256"/>
      <c r="AC14" s="241"/>
      <c r="AD14" s="258"/>
      <c r="AE14" s="152"/>
      <c r="AF14" s="251"/>
      <c r="AG14" s="252"/>
      <c r="AH14" s="70"/>
      <c r="AK14" s="58"/>
      <c r="AL14" s="88"/>
      <c r="AM14" s="57"/>
      <c r="AN14" s="74">
        <f ca="1">ROUND(SUM((AN12+AN13)*AF15/100),)</f>
        <v>0</v>
      </c>
      <c r="AO14" s="40"/>
      <c r="AW14" s="125"/>
      <c r="AX14" s="126"/>
    </row>
    <row r="15" spans="1:50" ht="26.25" customHeight="1" thickBot="1" x14ac:dyDescent="0.3">
      <c r="A15" s="26" t="s">
        <v>5</v>
      </c>
      <c r="B15" s="27">
        <v>6</v>
      </c>
      <c r="C15" s="95"/>
      <c r="D15" s="28">
        <f ca="1">IF(F15&lt;&gt;0,(ROUND(SUM(F15)-(SQRT(21-B15)/2)*1000,0)),0)</f>
        <v>20592</v>
      </c>
      <c r="E15" s="94"/>
      <c r="F15" s="28">
        <f ca="1">IF(H15&lt;&gt;0,(ROUND(SUM(H15)-(SQRT(21-B15)/2)*1000,0)),0)</f>
        <v>22528</v>
      </c>
      <c r="G15" s="93"/>
      <c r="H15" s="28">
        <f ca="1">IF(J15&lt;&gt;0,(ROUND(SUM(J15)-(SQRT(21-B15)/2)*1000,0)),0)</f>
        <v>24464</v>
      </c>
      <c r="I15" s="99">
        <v>60</v>
      </c>
      <c r="J15" s="104">
        <f ca="1">SUM(O13)*I15/100</f>
        <v>26400</v>
      </c>
      <c r="K15" s="17"/>
      <c r="L15" s="18" t="str">
        <f ca="1">IF(Z7=6,IF(AC7&lt;&gt;0," ",IF(AF11=1,D15,IF(AF11=2,F15,IF(AF11=3,H15,IF(AF11=4,J15))))),"00")</f>
        <v>00</v>
      </c>
      <c r="M15" s="50" t="str">
        <f ca="1">IF($Z$7=6,IF($AC$7&lt;&gt;0," ",IF($AF$11=1,$F$15,IF($AF$11=2,$H$15,IF($AF$11=3,$J$15,IF($AF$11=4,$J$15))))),"00")</f>
        <v>00</v>
      </c>
      <c r="N15" s="66"/>
      <c r="O15" s="259"/>
      <c r="P15" s="260"/>
      <c r="Q15" s="260"/>
      <c r="R15" s="260"/>
      <c r="S15" s="261"/>
      <c r="T15" s="151"/>
      <c r="U15" s="244" t="s">
        <v>25</v>
      </c>
      <c r="V15" s="245"/>
      <c r="W15" s="245"/>
      <c r="X15" s="245"/>
      <c r="Y15" s="245"/>
      <c r="Z15" s="245"/>
      <c r="AA15" s="245"/>
      <c r="AB15" s="245"/>
      <c r="AC15" s="245"/>
      <c r="AD15" s="245"/>
      <c r="AE15" s="246"/>
      <c r="AF15" s="160"/>
      <c r="AG15" s="145" t="s">
        <v>15</v>
      </c>
      <c r="AH15" s="70"/>
      <c r="AK15" s="58"/>
      <c r="AL15" s="88"/>
      <c r="AM15" s="57"/>
      <c r="AN15" s="78">
        <f ca="1">ROUND(SUM(AN12:AN14),-3)</f>
        <v>29000</v>
      </c>
      <c r="AO15" s="40"/>
      <c r="AW15" s="125"/>
      <c r="AX15" s="126"/>
    </row>
    <row r="16" spans="1:50" ht="14.25" customHeight="1" thickTop="1" x14ac:dyDescent="0.25">
      <c r="A16" s="19" t="s">
        <v>4</v>
      </c>
      <c r="B16" s="20">
        <f ca="1">IF(Z7=6,AC7,0)</f>
        <v>0</v>
      </c>
      <c r="C16" s="95"/>
      <c r="D16" s="22" t="str">
        <f ca="1">IF(B16&gt;0,(D15)-(D15-D17)/12*B16," ")</f>
        <v xml:space="preserve"> </v>
      </c>
      <c r="E16" s="94"/>
      <c r="F16" s="22" t="str">
        <f ca="1">IF(B16&gt;0,(F15)-(F15-F17)/12*B16," ")</f>
        <v xml:space="preserve"> </v>
      </c>
      <c r="G16" s="93"/>
      <c r="H16" s="22" t="str">
        <f ca="1">IF(B16&gt;0,(H15)-(H15-H17)/12*B16," ")</f>
        <v xml:space="preserve"> </v>
      </c>
      <c r="I16" s="98"/>
      <c r="J16" s="104" t="str">
        <f ca="1">IF(B16&gt;0,(J15)-(J15-J17)/12*B16," ")</f>
        <v xml:space="preserve"> </v>
      </c>
      <c r="K16" s="29"/>
      <c r="L16" s="18" t="str">
        <f ca="1">IF(Z7=6,IF(AC7=0," ",IF(AF11=1,D16,IF(AF11=2,F16,IF(AF11=3,H16,IF(AF11=4,J16))))),"")</f>
        <v/>
      </c>
      <c r="M16" s="50" t="str">
        <f ca="1">IF($Z$7=6,IF($AC$7=0," ",IF($AF$11=1,$F$16,IF($AF$11=2,$H$16,IF($AF$11=3,$J$16,IF($AF$11=4,$J$16))))),"")</f>
        <v/>
      </c>
      <c r="N16" s="68"/>
      <c r="O16" s="71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90"/>
      <c r="AI16" s="107"/>
      <c r="AJ16" s="102">
        <v>6</v>
      </c>
      <c r="AK16" s="58"/>
      <c r="AL16" s="88"/>
      <c r="AM16" s="84"/>
      <c r="AN16" s="73" t="s">
        <v>13</v>
      </c>
      <c r="AO16" s="32"/>
      <c r="AX16" s="126"/>
    </row>
    <row r="17" spans="1:63" ht="14.25" customHeight="1" x14ac:dyDescent="0.25">
      <c r="A17" s="26" t="s">
        <v>5</v>
      </c>
      <c r="B17" s="27">
        <v>7</v>
      </c>
      <c r="C17" s="95"/>
      <c r="D17" s="28">
        <f ca="1">IF(F17&lt;&gt;0,(ROUND(SUM(F17)-(SQRT(21-B17)/2)*1000,0)),0)</f>
        <v>18587</v>
      </c>
      <c r="E17" s="94"/>
      <c r="F17" s="28">
        <f ca="1">IF(H17&lt;&gt;0,(ROUND(SUM(H17)-(SQRT(21-B17)/2)*1000,0)),0)</f>
        <v>20458</v>
      </c>
      <c r="G17" s="93"/>
      <c r="H17" s="28">
        <f ca="1">IF(J17&lt;&gt;0,(ROUND(SUM(J17)-(SQRT(21-B17)/2)*1000,0)),0)</f>
        <v>22329</v>
      </c>
      <c r="I17" s="96">
        <v>55</v>
      </c>
      <c r="J17" s="104">
        <f ca="1">SUM(O13)*I17/100</f>
        <v>24200</v>
      </c>
      <c r="K17" s="17"/>
      <c r="L17" s="18" t="str">
        <f ca="1">IF(Z7=7,IF(AC7&lt;&gt;0," ",IF(AF11=1,D17,IF(AF11=2,F17,IF(AF11=3,H17,IF(AF11=4,J17))))),"00")</f>
        <v>00</v>
      </c>
      <c r="M17" s="50" t="str">
        <f ca="1">IF($Z$7=7,IF($AC$7&lt;&gt;0," ",IF($AF$11=1,F17,IF($AF$11=2,$H$17,IF($AF$11=3,$J$17,IF($AF$11=4,$J$17))))),"00")</f>
        <v>00</v>
      </c>
      <c r="N17" s="82"/>
      <c r="P17" s="108"/>
      <c r="Q17" s="109"/>
      <c r="R17" s="110"/>
      <c r="S17" s="110" t="str">
        <f>(AI2)</f>
        <v>VERSION  7</v>
      </c>
      <c r="T17" s="110"/>
      <c r="U17" s="110"/>
      <c r="V17" s="110"/>
      <c r="W17" s="110"/>
      <c r="X17" s="110"/>
      <c r="Y17" s="110"/>
      <c r="Z17" s="110" t="str">
        <f>(AI4)</f>
        <v>DATE LIMITE</v>
      </c>
      <c r="AA17" s="110"/>
      <c r="AB17" s="110"/>
      <c r="AC17" s="253">
        <f>SUM(AJ4)</f>
        <v>46142</v>
      </c>
      <c r="AD17" s="254"/>
      <c r="AE17" s="254"/>
      <c r="AF17" s="110"/>
      <c r="AH17" s="91"/>
      <c r="AI17" s="84"/>
      <c r="AJ17" s="103"/>
      <c r="AK17" s="84"/>
      <c r="AL17" s="84"/>
      <c r="AM17" s="84"/>
      <c r="AN17" s="74">
        <f ca="1">IF(OR(SUM(Z7+(AC7)/12)&gt;20),0,ROUND(SUM($AN$12)+($AN$12*(((($AN$7)^0.005)*$AN$7/3.5)+$AN$7)/100),))</f>
        <v>30362</v>
      </c>
      <c r="AO17" s="39"/>
      <c r="AX17" s="126"/>
    </row>
    <row r="18" spans="1:63" ht="12.75" customHeight="1" x14ac:dyDescent="0.25">
      <c r="A18" s="19" t="s">
        <v>4</v>
      </c>
      <c r="B18" s="20">
        <f ca="1">IF(Z7=7,AC7,0)</f>
        <v>0</v>
      </c>
      <c r="C18" s="95"/>
      <c r="D18" s="22" t="str">
        <f ca="1">IF(B18&gt;0,(D17)-(D17-D19)/12*B18," ")</f>
        <v xml:space="preserve"> </v>
      </c>
      <c r="E18" s="94"/>
      <c r="F18" s="22" t="str">
        <f ca="1">IF(B18&gt;0,(F17)-(F17-F19)/12*B18," ")</f>
        <v xml:space="preserve"> </v>
      </c>
      <c r="G18" s="93"/>
      <c r="H18" s="22" t="str">
        <f ca="1">IF(B18&gt;0,(H17)-(H17-H19)/12*B18," ")</f>
        <v xml:space="preserve"> </v>
      </c>
      <c r="I18" s="98"/>
      <c r="J18" s="104" t="str">
        <f ca="1">IF(B18&gt;0,(J17)-(J17-J19)/12*B18," ")</f>
        <v xml:space="preserve"> </v>
      </c>
      <c r="K18" s="29"/>
      <c r="L18" s="18" t="str">
        <f ca="1">IF(Z7=7,IF(AC7=0," ",IF(AF11=1,D18,IF(AF11=2,F18,IF(AF11=3,H18,IF(AF11=4,J18))))),"")</f>
        <v/>
      </c>
      <c r="M18" s="50" t="str">
        <f ca="1">IF($Z$7=7,IF($AC$7=0," ",IF($AF$11=1,$F$18,IF($AF$11=2,$H$18,IF($AF$11=3,$J$18,IF($AF$11=4,$J$18))))),"")</f>
        <v/>
      </c>
      <c r="N18" s="82"/>
      <c r="O18" s="83"/>
      <c r="P18" s="84"/>
      <c r="Q18" s="84"/>
      <c r="R18" s="84"/>
      <c r="S18" s="84"/>
      <c r="T18" s="84"/>
      <c r="U18" s="84"/>
      <c r="V18" s="84"/>
      <c r="W18" s="153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101"/>
      <c r="AM18" s="84"/>
      <c r="AN18" s="75">
        <f ca="1">IF(OR(AF13="Non",AF11=4,(Z7+(AC7)/12)&gt;20),0,SUM($AN$13)+($AN$13*(((($AN$7)^0.005)*$AN$7/3.5)+$AN$7)/100))</f>
        <v>0</v>
      </c>
      <c r="AO18" s="40"/>
      <c r="AU18" s="127"/>
      <c r="AV18" s="33"/>
      <c r="AX18" s="118" t="s">
        <v>5</v>
      </c>
      <c r="AY18" s="118" t="s">
        <v>17</v>
      </c>
      <c r="BA18" s="118" t="s">
        <v>5</v>
      </c>
      <c r="BB18" s="118" t="s">
        <v>17</v>
      </c>
      <c r="BD18" s="118" t="s">
        <v>5</v>
      </c>
      <c r="BE18" s="118" t="s">
        <v>17</v>
      </c>
    </row>
    <row r="19" spans="1:63" ht="18" customHeight="1" x14ac:dyDescent="0.25">
      <c r="A19" s="26" t="s">
        <v>5</v>
      </c>
      <c r="B19" s="27">
        <v>8</v>
      </c>
      <c r="C19" s="95"/>
      <c r="D19" s="28">
        <f ca="1">IF(F19&lt;&gt;0,(ROUND(SUM(F19)-(SQRT(21-B19)/2)*1000,0)),0)</f>
        <v>17471</v>
      </c>
      <c r="E19" s="94"/>
      <c r="F19" s="28">
        <f ca="1">IF(H19&lt;&gt;0,(ROUND(SUM(H19)-(SQRT(21-B19)/2)*1000,0)),0)</f>
        <v>19274</v>
      </c>
      <c r="G19" s="93"/>
      <c r="H19" s="28">
        <f ca="1">IF(J19&lt;&gt;0,(ROUND(SUM(J19)-(SQRT(21-B19)/2)*1000,0)),0)</f>
        <v>21077</v>
      </c>
      <c r="I19" s="96">
        <v>52</v>
      </c>
      <c r="J19" s="104">
        <f ca="1">SUM(O13)*I19/100</f>
        <v>22880</v>
      </c>
      <c r="K19" s="17"/>
      <c r="L19" s="18" t="str">
        <f ca="1">IF(Z7=8,IF(AC7&lt;&gt;0," ",IF(AF11=1,D19,IF(AF11=2,F19,IF(AF11=3,H19,IF(AF11=4,J19))))),"00")</f>
        <v>00</v>
      </c>
      <c r="M19" s="50" t="str">
        <f ca="1">IF($Z$7=8,IF($AC$7&lt;&gt;0," ",IF($AF$11=1,F19,IF($AF$11=2,H19,IF($AF$11=3,J19,IF($AF$11=4,J19))))),"00")</f>
        <v>00</v>
      </c>
      <c r="N19" s="82"/>
      <c r="O19" s="242" t="str">
        <f ca="1">IF(O13="Voir OBSERVATION","OBSERVATION:","")</f>
        <v/>
      </c>
      <c r="P19" s="243"/>
      <c r="Q19" s="243"/>
      <c r="R19" s="243"/>
      <c r="S19" s="243"/>
      <c r="T19" s="247" t="str">
        <f ca="1">IF(O13="Voir OBSERVATION","L'année de commercialisation doit être inf. à la date d'évaluation","")</f>
        <v/>
      </c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84"/>
      <c r="AJ19" s="84"/>
      <c r="AK19" s="84"/>
      <c r="AL19" s="101"/>
      <c r="AM19" s="84"/>
      <c r="AN19" s="74">
        <f ca="1">ROUND(SUM(AN17+AN18)*(AF15)/100,)</f>
        <v>0</v>
      </c>
      <c r="AO19" s="40"/>
      <c r="AU19" s="118" t="s">
        <v>5</v>
      </c>
      <c r="AV19" s="118" t="s">
        <v>17</v>
      </c>
      <c r="AX19" s="119">
        <v>2016</v>
      </c>
      <c r="AY19" s="120">
        <v>3.6299999999999999E-2</v>
      </c>
      <c r="BA19" s="119">
        <v>2022</v>
      </c>
      <c r="BB19" s="120">
        <v>8.3099999999999993E-2</v>
      </c>
      <c r="BD19" s="118">
        <v>2026</v>
      </c>
      <c r="BE19" s="122">
        <v>5.3E-3</v>
      </c>
    </row>
    <row r="20" spans="1:63" ht="15.75" customHeight="1" thickBot="1" x14ac:dyDescent="0.3">
      <c r="A20" s="19" t="s">
        <v>4</v>
      </c>
      <c r="B20" s="20">
        <f ca="1">IF(Z7=8,AC7,0)</f>
        <v>0</v>
      </c>
      <c r="C20" s="95"/>
      <c r="D20" s="22" t="str">
        <f ca="1">IF(B20&gt;0,(D19)-(D19-D21)/12*B20," ")</f>
        <v xml:space="preserve"> </v>
      </c>
      <c r="E20" s="94"/>
      <c r="F20" s="22" t="str">
        <f ca="1">IF(B20&gt;0,(F19)-(F19-F21)/12*B20," ")</f>
        <v xml:space="preserve"> </v>
      </c>
      <c r="G20" s="93"/>
      <c r="H20" s="22" t="str">
        <f ca="1">IF(B20&gt;0,(H19)-(H19-H21)/12*B20," ")</f>
        <v xml:space="preserve"> </v>
      </c>
      <c r="I20" s="98"/>
      <c r="J20" s="104" t="str">
        <f ca="1">IF(B20&gt;0,(J19)-(J19-J21)/12*B20," ")</f>
        <v xml:space="preserve"> </v>
      </c>
      <c r="K20" s="29"/>
      <c r="L20" s="18" t="str">
        <f ca="1">IF(Z7=8,IF(AC7=0," ",IF(AF11=1,D20,IF(AF11=2,F20,IF(AF11=3,H20,IF(AF11=4,J20))))),"")</f>
        <v/>
      </c>
      <c r="M20" s="50" t="str">
        <f ca="1">IF($Z$7=8,IF($AC$7=0," ",IF($AF$11=1,F20,IF($AF$11=2,H20,IF($AF$11=3,J20,IF($AF$11=4,J20))))),"")</f>
        <v/>
      </c>
      <c r="N20" s="82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84"/>
      <c r="AI20" s="84"/>
      <c r="AJ20" s="84"/>
      <c r="AK20" s="84"/>
      <c r="AL20" s="101"/>
      <c r="AM20" s="84"/>
      <c r="AN20" s="76">
        <f ca="1">ROUND(SUM(AN17:AN19),-3)</f>
        <v>30000</v>
      </c>
      <c r="AO20" s="40"/>
      <c r="AU20" s="119">
        <v>2010</v>
      </c>
      <c r="AV20" s="120">
        <v>3.3399999999999999E-2</v>
      </c>
      <c r="AX20" s="119">
        <v>2015</v>
      </c>
      <c r="AY20" s="120">
        <v>4.4400000000000002E-2</v>
      </c>
      <c r="BA20" s="119">
        <v>2021</v>
      </c>
      <c r="BB20" s="120">
        <v>5.7099999999999998E-2</v>
      </c>
      <c r="BD20" s="121">
        <v>2025</v>
      </c>
      <c r="BE20" s="122">
        <v>5.3999999999999999E-2</v>
      </c>
    </row>
    <row r="21" spans="1:63" ht="12.75" customHeight="1" thickTop="1" x14ac:dyDescent="0.25">
      <c r="A21" s="26" t="s">
        <v>5</v>
      </c>
      <c r="B21" s="27">
        <v>9</v>
      </c>
      <c r="C21" s="95"/>
      <c r="D21" s="28">
        <f ca="1">IF(F21&lt;&gt;0,(ROUND(SUM(F21)-(SQRT(21-B21)/2)*1000,0)),0)</f>
        <v>16364</v>
      </c>
      <c r="E21" s="94"/>
      <c r="F21" s="28">
        <f ca="1">IF(H21&lt;&gt;0,(ROUND(SUM(H21)-(SQRT(21-B21)/2)*1000,0)),0)</f>
        <v>18096</v>
      </c>
      <c r="G21" s="93"/>
      <c r="H21" s="28">
        <f ca="1">IF(J21&lt;&gt;0,(ROUND(SUM(J21)-(SQRT(21-B21)/2)*1000,0)),0)</f>
        <v>19828</v>
      </c>
      <c r="I21" s="96">
        <v>49</v>
      </c>
      <c r="J21" s="104">
        <f ca="1">SUM(O13)*I21/100</f>
        <v>21560</v>
      </c>
      <c r="K21" s="17"/>
      <c r="L21" s="18" t="str">
        <f ca="1">IF(Z7=9,IF(AC7&lt;&gt;0," ",IF(AF11=1,D21,IF(AF11=2,F21,IF(AF11=3,H21,IF(AF11=4,J21))))),"00")</f>
        <v>00</v>
      </c>
      <c r="M21" s="50" t="str">
        <f ca="1">IF($Z$7=9,IF($AC$7&lt;&gt;0," ",IF($AF$11=1,$F$21,IF($AF$11=2,$H$21,IF($AF$11=3,$J$21,IF($AF$11=4,$J$21))))),"00")</f>
        <v>00</v>
      </c>
      <c r="N21" s="82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84"/>
      <c r="AI21" s="84"/>
      <c r="AJ21" s="84"/>
      <c r="AK21" s="84"/>
      <c r="AL21" s="84"/>
      <c r="AM21" s="84"/>
      <c r="AN21" s="51" t="str">
        <f ca="1">IF(OR(SUM(Z7+AC7)&gt;20,AN12&lt;&gt;""),"",ROUND(SUM(AN17+(AN17)*AF15),-3))</f>
        <v/>
      </c>
      <c r="AU21" s="119">
        <v>2009</v>
      </c>
      <c r="AV21" s="120">
        <v>3.6600000000000001E-2</v>
      </c>
      <c r="AX21" s="119">
        <v>2014</v>
      </c>
      <c r="AY21" s="120">
        <v>4.6300000000000001E-2</v>
      </c>
      <c r="BA21" s="119">
        <v>2020</v>
      </c>
      <c r="BB21" s="120">
        <v>5.6300000000000003E-2</v>
      </c>
      <c r="BD21" s="121">
        <v>2024</v>
      </c>
      <c r="BE21" s="122">
        <v>7.0000000000000007E-2</v>
      </c>
    </row>
    <row r="22" spans="1:63" ht="12.75" customHeight="1" x14ac:dyDescent="0.25">
      <c r="A22" s="19" t="s">
        <v>4</v>
      </c>
      <c r="B22" s="20">
        <f ca="1">IF(Z7=9,AC7,0)</f>
        <v>0</v>
      </c>
      <c r="C22" s="95"/>
      <c r="D22" s="22" t="str">
        <f ca="1">IF(B22&gt;0,(D21)-(D21-D23)/12*B22," ")</f>
        <v xml:space="preserve"> </v>
      </c>
      <c r="E22" s="94"/>
      <c r="F22" s="22" t="str">
        <f ca="1">IF(B22&gt;0,(F21)-(F21-F23)/12*B22," ")</f>
        <v xml:space="preserve"> </v>
      </c>
      <c r="G22" s="93"/>
      <c r="H22" s="22" t="str">
        <f ca="1">IF(B22&gt;0,(H21)-(H21-H23)/12*B22," ")</f>
        <v xml:space="preserve"> </v>
      </c>
      <c r="I22" s="98"/>
      <c r="J22" s="104" t="str">
        <f ca="1">IF(B22&gt;0,(J21)-(J21-J23)/12*B22," ")</f>
        <v xml:space="preserve"> </v>
      </c>
      <c r="K22" s="29"/>
      <c r="L22" s="18" t="str">
        <f ca="1">IF(Z7=9,IF(AC7=0," ",IF(AF11=1,D22,IF(AF11=2,F22,IF(AF11=3,H22,IF(AF11=4,J22))))),"")</f>
        <v/>
      </c>
      <c r="M22" s="50" t="str">
        <f ca="1">IF($Z$7=9,IF($AC$7=0," ",IF($AF$11=1,$F$22,IF($AF$11=2,$H$22,IF($AF$11=3,$J$22,IF($AF$11=4,$J$22))))),"")</f>
        <v/>
      </c>
      <c r="N22" s="82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129"/>
      <c r="AJ22" s="129"/>
      <c r="AK22" s="84"/>
      <c r="AL22" s="84"/>
      <c r="AM22" s="84"/>
      <c r="AN22" s="84"/>
      <c r="AO22" s="84"/>
      <c r="AP22" s="52"/>
      <c r="AU22" s="119">
        <v>2008</v>
      </c>
      <c r="AV22" s="120">
        <v>4.3499999999999997E-2</v>
      </c>
      <c r="AX22" s="119">
        <v>2013</v>
      </c>
      <c r="AY22" s="120">
        <v>5.3199999999999997E-2</v>
      </c>
      <c r="BA22" s="119">
        <v>2019</v>
      </c>
      <c r="BB22" s="120">
        <v>6.7199999999999996E-2</v>
      </c>
      <c r="BD22" s="121">
        <v>2023</v>
      </c>
      <c r="BE22" s="122">
        <v>9.3299999999999994E-2</v>
      </c>
    </row>
    <row r="23" spans="1:63" ht="12.75" customHeight="1" x14ac:dyDescent="0.25">
      <c r="A23" s="26" t="s">
        <v>5</v>
      </c>
      <c r="B23" s="27">
        <v>10</v>
      </c>
      <c r="C23" s="95"/>
      <c r="D23" s="28">
        <f ca="1">IF(F23&lt;&gt;0,(ROUND(SUM(F23)-(SQRT(21-B23)/2)*1000,0)),0)</f>
        <v>15266</v>
      </c>
      <c r="E23" s="94"/>
      <c r="F23" s="28">
        <f ca="1">IF(H23&lt;&gt;0,(ROUND(SUM(H23)-(SQRT(21-B23)/2)*1000,0)),0)</f>
        <v>16924</v>
      </c>
      <c r="G23" s="93"/>
      <c r="H23" s="28">
        <f ca="1">IF(J23&lt;&gt;0,(ROUND(SUM(J23)-(SQRT(21-B23)/2)*1000,0)),0)</f>
        <v>18582</v>
      </c>
      <c r="I23" s="96">
        <v>46</v>
      </c>
      <c r="J23" s="104">
        <f ca="1">SUM(O13)*I23/100</f>
        <v>20240</v>
      </c>
      <c r="K23" s="17"/>
      <c r="L23" s="18" t="str">
        <f ca="1">IF($Z$7=10,IF($AC$7&lt;&gt;0," ",IF($AF$11=1,D23,IF($AF$11=2,F23,IF($AF$11=3,H23,IF($AF$11=4,J23))))),"00")</f>
        <v>00</v>
      </c>
      <c r="M23" s="50" t="str">
        <f ca="1">IF($Z$7=10,IF($AC$7&lt;&gt;0," ",IF($AF$11=1,$F$23,IF($AF$11=2,$H$23,IF($AF$11=3,$J$23,IF($AF$11=4,$J$23))))),"00")</f>
        <v>00</v>
      </c>
      <c r="N23" s="82"/>
      <c r="O23" s="84"/>
      <c r="P23" s="84"/>
      <c r="Q23" s="84"/>
      <c r="R23" s="84"/>
      <c r="S23" s="84"/>
      <c r="T23" s="84"/>
      <c r="U23" s="84"/>
      <c r="V23" s="84"/>
      <c r="W23" s="91"/>
      <c r="X23" s="91"/>
      <c r="Y23" s="91"/>
      <c r="Z23" s="91"/>
      <c r="AA23" s="91"/>
      <c r="AB23" s="91"/>
      <c r="AC23" s="91"/>
      <c r="AD23" s="84"/>
      <c r="AE23" s="84"/>
      <c r="AF23" s="84"/>
      <c r="AG23" s="84"/>
      <c r="AH23" s="84"/>
      <c r="AI23" s="130"/>
      <c r="AJ23" s="130"/>
      <c r="AK23" s="84"/>
      <c r="AL23" s="84"/>
      <c r="AM23" s="84"/>
      <c r="AN23" s="36"/>
      <c r="AO23" s="84"/>
      <c r="AP23" s="51" t="str">
        <f ca="1">IF(OR(AF13="Non",AF11=4,(Z7+AC7)&gt;20,AN12&lt;&gt;""),"",ROUND(SUM(AN19+(AN19)*AF15),-3))</f>
        <v/>
      </c>
      <c r="AU23" s="119">
        <v>2007</v>
      </c>
      <c r="AV23" s="120">
        <v>2.9700000000000001E-2</v>
      </c>
      <c r="AX23" s="119">
        <v>2012</v>
      </c>
      <c r="AY23" s="120">
        <v>4.6100000000000002E-2</v>
      </c>
      <c r="BA23" s="119">
        <v>2018</v>
      </c>
      <c r="BB23" s="120">
        <v>7.3099999999999998E-2</v>
      </c>
    </row>
    <row r="24" spans="1:63" ht="17.25" customHeight="1" x14ac:dyDescent="0.25">
      <c r="A24" s="19" t="s">
        <v>4</v>
      </c>
      <c r="B24" s="20">
        <f ca="1">IF(Z7=10,AC7,0)</f>
        <v>0</v>
      </c>
      <c r="C24" s="95"/>
      <c r="D24" s="22" t="str">
        <f ca="1">IF(B24&gt;0,(D23)-(D23-D25)/12*B24," ")</f>
        <v xml:space="preserve"> </v>
      </c>
      <c r="E24" s="94"/>
      <c r="F24" s="22" t="str">
        <f ca="1">IF(B24&gt;0,(F23)-(F23-F25)/12*B24," ")</f>
        <v xml:space="preserve"> </v>
      </c>
      <c r="G24" s="93"/>
      <c r="H24" s="22" t="str">
        <f ca="1">IF(B24&gt;0,(H23)-(H23-H25)/12*B24," ")</f>
        <v xml:space="preserve"> </v>
      </c>
      <c r="I24" s="98"/>
      <c r="J24" s="104" t="str">
        <f ca="1">IF(B24&gt;0,(J23)-(J23-J25)/12*B24," ")</f>
        <v xml:space="preserve"> </v>
      </c>
      <c r="K24" s="29"/>
      <c r="L24" s="18" t="str">
        <f ca="1">IF($Z$7=10,IF($AC$7=0," ",IF($AF$11=1,D24,IF($AF$11=2,F24,IF($AF$11=3,H24,IF($AF$11=4,J24))))),"")</f>
        <v/>
      </c>
      <c r="M24" s="50" t="str">
        <f ca="1">IF($Z$7=10,IF($AC$7=0," ",IF($AF$11=1,$F$24,IF($AF$11=2,$H$24,IF($AF$11=3,$J$24,IF($AF$11=4,$J$24))))),"")</f>
        <v/>
      </c>
      <c r="N24" s="82"/>
      <c r="O24" s="84"/>
      <c r="P24" s="84"/>
      <c r="Q24" s="84"/>
      <c r="R24" s="84"/>
      <c r="S24" s="84"/>
      <c r="T24" s="84"/>
      <c r="U24" s="84"/>
      <c r="V24" s="84"/>
      <c r="W24" s="91"/>
      <c r="X24" s="91"/>
      <c r="Y24" s="91"/>
      <c r="Z24" s="113"/>
      <c r="AA24" s="91"/>
      <c r="AB24" s="91"/>
      <c r="AC24" s="91"/>
      <c r="AD24" s="84"/>
      <c r="AE24" s="84"/>
      <c r="AF24" s="84"/>
      <c r="AG24" s="84"/>
      <c r="AH24" s="84"/>
      <c r="AI24" s="130"/>
      <c r="AJ24" s="130"/>
      <c r="AK24" s="84"/>
      <c r="AL24" s="84"/>
      <c r="AM24" s="84"/>
      <c r="AN24" s="84"/>
      <c r="AO24" s="84"/>
      <c r="AP24" s="52">
        <f>SUM(AL18:AL19)</f>
        <v>0</v>
      </c>
      <c r="AU24" s="119">
        <v>2006</v>
      </c>
      <c r="AV24" s="120">
        <v>3.2300000000000002E-2</v>
      </c>
      <c r="AX24" s="119">
        <v>2011</v>
      </c>
      <c r="AY24" s="120">
        <v>3.2399999999999998E-2</v>
      </c>
      <c r="BA24" s="119">
        <v>2017</v>
      </c>
      <c r="BB24" s="120">
        <v>5.3100000000000001E-2</v>
      </c>
    </row>
    <row r="25" spans="1:63" ht="13.5" customHeight="1" x14ac:dyDescent="0.25">
      <c r="A25" s="26" t="s">
        <v>5</v>
      </c>
      <c r="B25" s="79">
        <v>11</v>
      </c>
      <c r="C25" s="95"/>
      <c r="D25" s="28">
        <f ca="1">IF(F25&lt;&gt;0,(ROUND(SUM(F25)-(SQRT(21-B25)/2)*1000,0)),0)</f>
        <v>13297</v>
      </c>
      <c r="E25" s="94"/>
      <c r="F25" s="28">
        <f ca="1">IF(H25&lt;&gt;0,(ROUND(SUM(H25)-(SQRT(21-B25)/2)*1000,0)),0)</f>
        <v>14878</v>
      </c>
      <c r="G25" s="93"/>
      <c r="H25" s="28">
        <f ca="1">IF(J25&lt;&gt;0,(ROUND(SUM(J25)-(SQRT(21-B25)/2)*1000,0)),0)</f>
        <v>16459</v>
      </c>
      <c r="I25" s="96">
        <v>41</v>
      </c>
      <c r="J25" s="104">
        <f ca="1">SUM(O13)*I25/100</f>
        <v>18040</v>
      </c>
      <c r="K25" s="17"/>
      <c r="L25" s="18" t="str">
        <f ca="1">IF($Z$7=11,IF($AC$7&lt;&gt;0," ",IF($AF$11=1,D25,IF($AF$11=2,F25,IF($AF$11=3,H25,IF($AF$11=4,J25))))),"00")</f>
        <v>00</v>
      </c>
      <c r="M25" s="50" t="str">
        <f ca="1">IF($Z$7=11,IF($AC$7&lt;&gt;0," ",IF($AF$11=1,$F$25,IF($AF$11=2,$H$25,IF($AF$11=3,$J$25,IF($AF$11=4,$J$25))))),"00")</f>
        <v>00</v>
      </c>
      <c r="N25" s="85"/>
      <c r="O25" s="86"/>
      <c r="P25" s="84"/>
      <c r="Q25" s="84"/>
      <c r="R25" s="84"/>
      <c r="S25" s="84"/>
      <c r="T25" s="84"/>
      <c r="U25" s="84"/>
      <c r="V25" s="84"/>
      <c r="W25" s="91"/>
      <c r="X25" s="91"/>
      <c r="Y25" s="91"/>
      <c r="Z25" s="91"/>
      <c r="AA25" s="91"/>
      <c r="AB25" s="91"/>
      <c r="AC25" s="91"/>
      <c r="AD25" s="84"/>
      <c r="AE25" s="84"/>
      <c r="AF25" s="84"/>
      <c r="AG25" s="84"/>
      <c r="AH25" s="85"/>
      <c r="AI25" s="85"/>
      <c r="AJ25" s="85"/>
      <c r="AK25" s="85"/>
      <c r="AL25" s="85"/>
      <c r="AM25" s="57"/>
    </row>
    <row r="26" spans="1:63" ht="13.5" customHeight="1" x14ac:dyDescent="0.25">
      <c r="A26" s="26"/>
      <c r="B26" s="79"/>
      <c r="C26" s="117"/>
      <c r="D26" s="28"/>
      <c r="E26" s="117"/>
      <c r="F26" s="28"/>
      <c r="G26" s="117"/>
      <c r="H26" s="28"/>
      <c r="I26" s="96"/>
      <c r="J26" s="104"/>
      <c r="K26" s="17"/>
      <c r="L26" s="18"/>
      <c r="M26" s="50"/>
      <c r="N26" s="85"/>
      <c r="O26" s="86"/>
      <c r="P26" s="84"/>
      <c r="Q26" s="84"/>
      <c r="R26" s="84"/>
      <c r="S26" s="84"/>
      <c r="T26" s="84"/>
      <c r="U26" s="84"/>
      <c r="V26" s="84"/>
      <c r="W26" s="91"/>
      <c r="X26" s="91"/>
      <c r="Y26" s="91"/>
      <c r="Z26" s="91"/>
      <c r="AA26" s="91"/>
      <c r="AB26" s="91"/>
      <c r="AC26" s="91"/>
      <c r="AD26" s="84"/>
      <c r="AE26" s="84"/>
      <c r="AF26" s="84"/>
      <c r="AG26" s="84"/>
      <c r="AH26" s="85"/>
      <c r="AI26" s="85"/>
      <c r="AJ26" s="85"/>
      <c r="AK26" s="85"/>
      <c r="AL26" s="85"/>
      <c r="AM26" s="57"/>
    </row>
    <row r="27" spans="1:63" ht="13.5" customHeight="1" x14ac:dyDescent="0.25">
      <c r="A27" s="26"/>
      <c r="B27" s="79"/>
      <c r="C27" s="117"/>
      <c r="D27" s="28"/>
      <c r="E27" s="117"/>
      <c r="F27" s="28"/>
      <c r="G27" s="117"/>
      <c r="H27" s="28"/>
      <c r="I27" s="96"/>
      <c r="J27" s="104"/>
      <c r="K27" s="17"/>
      <c r="L27" s="18"/>
      <c r="M27" s="50"/>
      <c r="N27" s="85"/>
      <c r="O27" s="86"/>
      <c r="P27" s="84"/>
      <c r="Q27" s="84"/>
      <c r="R27" s="84"/>
      <c r="S27" s="84"/>
      <c r="T27" s="84"/>
      <c r="U27" s="84"/>
      <c r="V27" s="84"/>
      <c r="W27" s="91"/>
      <c r="X27" s="91"/>
      <c r="Y27" s="91"/>
      <c r="Z27" s="91"/>
      <c r="AA27" s="91"/>
      <c r="AB27" s="91"/>
      <c r="AC27" s="91"/>
      <c r="AD27" s="84"/>
      <c r="AE27" s="84"/>
      <c r="AF27" s="84"/>
      <c r="AG27" s="84"/>
      <c r="AH27" s="85"/>
      <c r="AI27" s="85"/>
      <c r="AJ27" s="85"/>
      <c r="AK27" s="85"/>
      <c r="AL27" s="85"/>
      <c r="AM27" s="57"/>
      <c r="AQ27" s="35">
        <f ca="1">IF(U7&lt;&gt;"",YEAR(U7),YEAR(AJ3))</f>
        <v>2026</v>
      </c>
      <c r="AR27" s="128" t="str">
        <f>IF(AR29=YEAR(U7),AR30,IF(AS29=YEAR(U7),AS30,IF(AT29=YEAR(U7),AT30,IF(AU29=YEAR(U7),AU30,IF(AV29=YEAR(U7),AV30,IF(AW29=YEAR(U7),AW30,IF(AX29=YEAR(U7),AX30,"ok")))))))</f>
        <v>ok</v>
      </c>
      <c r="AS27" s="128" t="str">
        <f>IF(AY29=YEAR(U7),AY30,IF(AZ29=YEAR(U7),AZ30,IF(BA29=YEAR(U7),BA30,IF(BB29=YEAR(U7),BB30,IF(BC29=YEAR(U7),BC30,IF(BD29=YEAR(U7),BD30,IF(BE29=YEAR(U7),BE30,"ok "))))))
)</f>
        <v xml:space="preserve">ok </v>
      </c>
      <c r="AT27" s="128">
        <f ca="1">IF(BF29=YEAR(U7),BF30,IF(BG29=YEAR(U7),BG30,IF(BH29=YEAR(U7),BH30,IF(BI29=YEAR(U7),BI30, IF(BJ29=YEAR(U7),BJ30,                                     IF(BK29=YEAR(AE7),BK30,"ok"))))))</f>
        <v>44394.479999999996</v>
      </c>
    </row>
    <row r="28" spans="1:63" ht="12.75" customHeight="1" x14ac:dyDescent="0.25">
      <c r="A28" s="19" t="s">
        <v>4</v>
      </c>
      <c r="B28" s="20">
        <f ca="1">IF(Z7=11,AC7,0)</f>
        <v>0</v>
      </c>
      <c r="C28" s="95"/>
      <c r="D28" s="22" t="str">
        <f ca="1">IF(B28&gt;0,(D25)-(D25-D29)/12*B28," ")</f>
        <v xml:space="preserve"> </v>
      </c>
      <c r="E28" s="94"/>
      <c r="F28" s="80" t="str">
        <f ca="1">IF(B28&gt;0,(F25)-(F25-F29)/12*B28," ")</f>
        <v xml:space="preserve"> </v>
      </c>
      <c r="G28" s="93"/>
      <c r="H28" s="80" t="str">
        <f ca="1">IF(B28&gt;0,(H25)-(H25-H29)/12*B28," ")</f>
        <v xml:space="preserve"> </v>
      </c>
      <c r="I28" s="98"/>
      <c r="J28" s="105" t="str">
        <f ca="1">IF(B28&gt;0,(J25)-(J25-J29)/12*B28," ")</f>
        <v xml:space="preserve"> </v>
      </c>
      <c r="K28" s="29"/>
      <c r="L28" s="18" t="str">
        <f ca="1">IF($Z$7=11,IF($AC$7=0," ",IF($AF$11=1,D28,IF($AF$11=2,F28,IF($AF$11=3,H28,IF($AF$11=4,J28))))),"")</f>
        <v/>
      </c>
      <c r="M28" s="50" t="str">
        <f ca="1">IF($Z$7=11,IF($AC$7=0," ",IF($AF$11=1,$F$28,IF($AF$11=2,$H$28,IF($AF$11=3,$J$28,IF($AF$11=4,$J$28))))),"")</f>
        <v/>
      </c>
      <c r="N28" s="87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57"/>
      <c r="AI28" s="57"/>
      <c r="AJ28" s="57"/>
      <c r="AK28" s="57"/>
      <c r="AL28" s="57"/>
      <c r="AM28" s="57"/>
      <c r="AN28" s="41"/>
    </row>
    <row r="29" spans="1:63" ht="12.75" customHeight="1" x14ac:dyDescent="0.25">
      <c r="A29" s="26" t="s">
        <v>5</v>
      </c>
      <c r="B29" s="79">
        <v>12</v>
      </c>
      <c r="C29" s="95"/>
      <c r="D29" s="28">
        <f ca="1">IF(F29&lt;&gt;0,(ROUND(SUM(F29)-(SQRT(21-B29)/2)*1000,0)),0)</f>
        <v>12220</v>
      </c>
      <c r="E29" s="94"/>
      <c r="F29" s="28">
        <f ca="1">IF(H29&lt;&gt;0,(ROUND(SUM(H29)-(SQRT(21-B29)/2)*1000,0)),0)</f>
        <v>13720</v>
      </c>
      <c r="G29" s="93"/>
      <c r="H29" s="28">
        <f ca="1">IF(J29&lt;&gt;0,(ROUND(SUM(J29)-(SQRT(21-B29)/2)*1000,0)),0)</f>
        <v>15220</v>
      </c>
      <c r="I29" s="96">
        <v>38</v>
      </c>
      <c r="J29" s="104">
        <f ca="1">SUM(O13)*I29/100</f>
        <v>16720</v>
      </c>
      <c r="K29" s="29"/>
      <c r="L29" s="18" t="str">
        <f ca="1">IF($Z$7=12,IF($AC$7&lt;&gt;0," ",IF($AF$11=1,D29,IF($AF$11=2,F29,IF($AF$11=3,H29,IF($AF$11=4,J29))))),"00")</f>
        <v>00</v>
      </c>
      <c r="M29" s="50" t="str">
        <f ca="1">IF($Z$7=12,IF($AC$7&lt;&gt;0," ",IF($AF$11=1,$F$29,IF($AF$11=2,$H$29,IF($AF$11=3,$J$29,IF($AF$11=4,$J$29))))),"00")</f>
        <v>00</v>
      </c>
      <c r="N29" s="87"/>
      <c r="O29" s="8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41"/>
      <c r="AQ29" s="114">
        <v>2006</v>
      </c>
      <c r="AR29" s="114">
        <v>2007</v>
      </c>
      <c r="AS29" s="114">
        <v>2008</v>
      </c>
      <c r="AT29" s="114">
        <v>2009</v>
      </c>
      <c r="AU29" s="114">
        <v>2010</v>
      </c>
      <c r="AV29" s="114">
        <v>2011</v>
      </c>
      <c r="AW29" s="114">
        <v>2012</v>
      </c>
      <c r="AX29" s="114">
        <v>2013</v>
      </c>
      <c r="AY29" s="114">
        <v>2014</v>
      </c>
      <c r="AZ29" s="114">
        <v>2015</v>
      </c>
      <c r="BA29" s="114">
        <v>2016</v>
      </c>
      <c r="BB29" s="114">
        <v>2017</v>
      </c>
      <c r="BC29" s="114">
        <v>2018</v>
      </c>
      <c r="BD29" s="114">
        <v>2019</v>
      </c>
      <c r="BE29" s="114">
        <v>2020</v>
      </c>
      <c r="BF29" s="114">
        <v>2021</v>
      </c>
      <c r="BG29" s="114">
        <v>2022</v>
      </c>
      <c r="BH29" s="114">
        <v>2023</v>
      </c>
      <c r="BI29" s="114">
        <v>2024</v>
      </c>
      <c r="BJ29" s="114">
        <v>2025</v>
      </c>
      <c r="BK29" s="114">
        <v>2026</v>
      </c>
    </row>
    <row r="30" spans="1:63" ht="15.75" customHeight="1" x14ac:dyDescent="0.25">
      <c r="A30" s="19" t="s">
        <v>4</v>
      </c>
      <c r="B30" s="20">
        <f ca="1">IF($Z$7=12,$AC$7,0)</f>
        <v>0</v>
      </c>
      <c r="C30" s="95"/>
      <c r="D30" s="81" t="str">
        <f ca="1">IF(B30&gt;0,(D29)-(D3-D31)/12*B30," ")</f>
        <v xml:space="preserve"> </v>
      </c>
      <c r="E30" s="94"/>
      <c r="F30" s="81" t="str">
        <f ca="1">IF(B30&gt;0,(F29)-(F29-F31)/12*B30," ")</f>
        <v xml:space="preserve"> </v>
      </c>
      <c r="G30" s="93"/>
      <c r="H30" s="80" t="str">
        <f ca="1">IF(B30&gt;0,(H29)-(H29-H31)/12*B30," ")</f>
        <v xml:space="preserve"> </v>
      </c>
      <c r="I30" s="98"/>
      <c r="J30" s="104" t="str">
        <f ca="1">IF(B30&gt;0,(J29)-(J29-J31)/12*B30," ")</f>
        <v xml:space="preserve"> </v>
      </c>
      <c r="K30" s="29"/>
      <c r="L30" s="18" t="str">
        <f ca="1">IF($Z$7=12,IF($AC$7=0," ",IF($AF$11=1,D30,IF($AF$11=2,F30,IF($AF$11=3,H30,IF($AF$11=4,J30))))),"")</f>
        <v/>
      </c>
      <c r="M30" s="50" t="str">
        <f ca="1">IF($Z$7=12,IF($AC$7=0," ",IF($AF$11=1,$F$30,IF($AF$11=2,$H$30,IF($AF$11=3,$J$30,IF($AF$11=4,$J$30))))),"")</f>
        <v/>
      </c>
      <c r="N30" s="87"/>
      <c r="O30" s="8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112"/>
      <c r="AJ30" s="57"/>
      <c r="AK30" s="57"/>
      <c r="AL30" s="57"/>
      <c r="AM30" s="57"/>
      <c r="AN30" s="41"/>
      <c r="AO30" s="41"/>
      <c r="AP30" s="41"/>
      <c r="AQ30" s="116">
        <f>SUM(AQ31)</f>
        <v>0</v>
      </c>
      <c r="AR30" s="116">
        <f>IF(AQ30=0,AR31,SUM(AQ30)*(1+0.0297))</f>
        <v>0</v>
      </c>
      <c r="AS30" s="116">
        <f>IF(AR30=0,AS31,SUM(AR30)*(1+0.0435))</f>
        <v>0</v>
      </c>
      <c r="AT30" s="116">
        <f>IF(AS30=0,AT31,SUM(AS30)*(1+0.0366))</f>
        <v>0</v>
      </c>
      <c r="AU30" s="116">
        <f>IF(AT30=0,AU31,SUM(AT30)*(1+0.0334))</f>
        <v>0</v>
      </c>
      <c r="AV30" s="116">
        <f>IF(AU30=0,AV31,SUM(AU30)*(1+0.0324))</f>
        <v>0</v>
      </c>
      <c r="AW30" s="116">
        <f>IF(AV30=0,AW31,SUM(AV30)*(1+0.0461))</f>
        <v>0</v>
      </c>
      <c r="AX30" s="116">
        <f>IF(AW30=0,AX31,SUM(AW30)*(1+0.0532))</f>
        <v>0</v>
      </c>
      <c r="AY30" s="116">
        <f>IF(AX30=0,AY31,SUM(AX30)*(1+0.0463))</f>
        <v>0</v>
      </c>
      <c r="AZ30" s="116">
        <f>IF(AY30=0,AZ31,SUM(AY30)*(1+0.0444))</f>
        <v>0</v>
      </c>
      <c r="BA30" s="116">
        <f>IF(AZ30=0,BA31,SUM(AZ30)*(1+0.0363))</f>
        <v>0</v>
      </c>
      <c r="BB30" s="116">
        <f>IF(BA30=0,BB31,SUM(BA30)*(1+0.0531))</f>
        <v>0</v>
      </c>
      <c r="BC30" s="116">
        <f>IF(BB30=0,BC31,SUM(BB30)*(1+0.0731))</f>
        <v>0</v>
      </c>
      <c r="BD30" s="116">
        <f>IF(BC30=0,BD31,SUM(BC30)*(1+0.0672))</f>
        <v>0</v>
      </c>
      <c r="BE30" s="116">
        <f>IF(BD30=0,BE31,SUM(BD30)*(1+0.0563))</f>
        <v>0</v>
      </c>
      <c r="BF30" s="116">
        <f>IF(BE30=0,BF31,SUM(BE30)*(1+0.0571))</f>
        <v>0</v>
      </c>
      <c r="BG30" s="116">
        <f>IF(BF30=0,BG31,SUM(BF30)*(1+0.0831))</f>
        <v>0</v>
      </c>
      <c r="BH30" s="116">
        <f>IF(BG30=0,BH31,SUM(BG30)*(1+0.0933))</f>
        <v>0</v>
      </c>
      <c r="BI30" s="116">
        <f>IF(BH30=0,BI31,SUM(BH30)*(1+0.07))</f>
        <v>40000</v>
      </c>
      <c r="BJ30" s="116">
        <f>IF(BI30=0,BJ31,SUM(BI30)*(1+0.054))</f>
        <v>42160</v>
      </c>
      <c r="BK30" s="116">
        <f>IF(BJ30=0,BK31,SUM(BJ30)*(1+0.053))</f>
        <v>44394.479999999996</v>
      </c>
    </row>
    <row r="31" spans="1:63" ht="12.75" customHeight="1" x14ac:dyDescent="0.25">
      <c r="A31" s="26" t="s">
        <v>5</v>
      </c>
      <c r="B31" s="79">
        <v>13</v>
      </c>
      <c r="C31" s="95"/>
      <c r="D31" s="28">
        <f ca="1">IF(F31&lt;&gt;0,(ROUND(SUM(F31)-(SQRT(21-B31)/2)*1000,0)),0)</f>
        <v>12038</v>
      </c>
      <c r="E31" s="94"/>
      <c r="F31" s="28">
        <f ca="1">IF(H31&lt;&gt;0,(ROUND(SUM(H31)-(SQRT(21-B31)/2)*1000,0)),0)</f>
        <v>13452</v>
      </c>
      <c r="G31" s="93"/>
      <c r="H31" s="28">
        <f ca="1">IF(J31&lt;&gt;0,(ROUND(SUM(J31)-(SQRT(21-B31)/2)*1000,0)),0)</f>
        <v>14866</v>
      </c>
      <c r="I31" s="96">
        <v>37</v>
      </c>
      <c r="J31" s="104">
        <f ca="1">SUM(O13)*I31/100</f>
        <v>16280</v>
      </c>
      <c r="K31" s="17"/>
      <c r="L31" s="18" t="str">
        <f ca="1">IF($Z$7=13,IF($AC$7&lt;&gt;0," ",IF($AF$11=1,D31,IF($AF$11=2,F31,IF($AF$11=3,H31,IF($AF$11=4,J31))))),"00")</f>
        <v>00</v>
      </c>
      <c r="M31" s="50" t="str">
        <f ca="1">IF($Z$7=13,IF($AC$7&lt;&gt;0," ",IF($AF$11=1,$F$31,IF($AF$11=2,$H$31,IF($AF$11=3,$J$31,IF($AF$11=4,$J$31))))),"00")</f>
        <v>00</v>
      </c>
      <c r="AL31" s="41"/>
      <c r="AM31" s="41"/>
      <c r="AN31" s="41"/>
      <c r="AO31" s="41"/>
      <c r="AP31" s="41"/>
      <c r="AQ31" s="115">
        <f>IF(AQ29=SUM($AJ$10),SUM($O$9),0)</f>
        <v>0</v>
      </c>
      <c r="AR31" s="115">
        <f t="shared" ref="AR31:BK31" si="0">IF(AR29=SUM($AJ$10),SUM($O$9),0)</f>
        <v>0</v>
      </c>
      <c r="AS31" s="115">
        <f t="shared" si="0"/>
        <v>0</v>
      </c>
      <c r="AT31" s="115">
        <f t="shared" si="0"/>
        <v>0</v>
      </c>
      <c r="AU31" s="115">
        <f t="shared" si="0"/>
        <v>0</v>
      </c>
      <c r="AV31" s="115">
        <f t="shared" si="0"/>
        <v>0</v>
      </c>
      <c r="AW31" s="115">
        <f t="shared" si="0"/>
        <v>0</v>
      </c>
      <c r="AX31" s="115">
        <f t="shared" si="0"/>
        <v>0</v>
      </c>
      <c r="AY31" s="115">
        <f t="shared" si="0"/>
        <v>0</v>
      </c>
      <c r="AZ31" s="115">
        <f t="shared" si="0"/>
        <v>0</v>
      </c>
      <c r="BA31" s="115">
        <f t="shared" si="0"/>
        <v>0</v>
      </c>
      <c r="BB31" s="115">
        <f t="shared" si="0"/>
        <v>0</v>
      </c>
      <c r="BC31" s="115">
        <f t="shared" si="0"/>
        <v>0</v>
      </c>
      <c r="BD31" s="115">
        <f t="shared" si="0"/>
        <v>0</v>
      </c>
      <c r="BE31" s="115">
        <f t="shared" si="0"/>
        <v>0</v>
      </c>
      <c r="BF31" s="115">
        <f t="shared" si="0"/>
        <v>0</v>
      </c>
      <c r="BG31" s="115">
        <f t="shared" si="0"/>
        <v>0</v>
      </c>
      <c r="BH31" s="115">
        <f t="shared" si="0"/>
        <v>0</v>
      </c>
      <c r="BI31" s="115">
        <f t="shared" si="0"/>
        <v>40000</v>
      </c>
      <c r="BJ31" s="115">
        <f t="shared" si="0"/>
        <v>0</v>
      </c>
      <c r="BK31" s="115">
        <f t="shared" si="0"/>
        <v>0</v>
      </c>
    </row>
    <row r="32" spans="1:63" ht="12.75" customHeight="1" x14ac:dyDescent="0.25">
      <c r="A32" s="19" t="s">
        <v>4</v>
      </c>
      <c r="B32" s="20">
        <f ca="1">IF($Z$7=13,$AC$7,0)</f>
        <v>0</v>
      </c>
      <c r="C32" s="95"/>
      <c r="D32" s="81" t="str">
        <f ca="1">IF(B32&gt;0,(D31)-(D31-D33)/12*B32," ")</f>
        <v xml:space="preserve"> </v>
      </c>
      <c r="E32" s="94"/>
      <c r="F32" s="80" t="str">
        <f ca="1">IF(B32&gt;0,(F31)-(F31-F33)/12*B32," ")</f>
        <v xml:space="preserve"> </v>
      </c>
      <c r="G32" s="93"/>
      <c r="H32" s="81" t="str">
        <f ca="1">IF(B32&gt;0,(H31)-(H31-H33)/12*B32," ")</f>
        <v xml:space="preserve"> </v>
      </c>
      <c r="I32" s="98"/>
      <c r="J32" s="106" t="str">
        <f ca="1">IF(B32&gt;0,(J31)-(J31-J33)/12*B32," ")</f>
        <v xml:space="preserve"> </v>
      </c>
      <c r="K32" s="29"/>
      <c r="L32" s="18" t="str">
        <f ca="1">IF($Z$7=13,IF($AC$7=0," ",IF($AF$11=1,D32,IF($AF$11=2,F32,IF($AF$11=3,H32,IF($AF$11=4,J32))))),"")</f>
        <v/>
      </c>
      <c r="M32" s="50" t="str">
        <f ca="1">IF($Z$7,IF($AC$7=0," ",IF($AF$11=1,$F$32,IF($AF$11=2,$H$32,IF($AF$11=3,$J$32,IF($AF$11=4,$J$32))))),"")</f>
        <v xml:space="preserve"> </v>
      </c>
      <c r="AL32" s="41"/>
      <c r="AM32" s="41"/>
      <c r="AN32" s="41"/>
      <c r="AO32" s="41"/>
      <c r="AP32" s="41"/>
    </row>
    <row r="33" spans="1:63" ht="12.75" customHeight="1" thickBot="1" x14ac:dyDescent="0.3">
      <c r="A33" s="31" t="s">
        <v>5</v>
      </c>
      <c r="B33" s="79">
        <v>14</v>
      </c>
      <c r="C33" s="95"/>
      <c r="D33" s="28">
        <f ca="1">IF(F33&lt;&gt;0,(ROUND(SUM(F33)-(SQRT(21-B33)/2)*1000,0)),0)</f>
        <v>11871</v>
      </c>
      <c r="E33" s="94"/>
      <c r="F33" s="28">
        <f ca="1">IF(H33&lt;&gt;0,(ROUND(SUM(H33)-(SQRT(21-B33)/2)*1000,0)),0)</f>
        <v>13194</v>
      </c>
      <c r="G33" s="93"/>
      <c r="H33" s="28">
        <f ca="1">IF(J33&lt;&gt;0,(ROUND(SUM(J33)-(SQRT(21-B33)/2)*1000,0)),0)</f>
        <v>14517</v>
      </c>
      <c r="I33" s="96">
        <v>36</v>
      </c>
      <c r="J33" s="104">
        <f ca="1">SUM(O13)*I33/100</f>
        <v>15840</v>
      </c>
      <c r="K33" s="17"/>
      <c r="L33" s="18" t="str">
        <f ca="1">IF($Z$7=14,IF($AC$7&lt;&gt;0," ",IF($AF$11=1,D33,IF($AF$11=2,F33,IF($AF$11=3,H33,IF($AF$11=4,J33))))),"00")</f>
        <v>00</v>
      </c>
      <c r="M33" s="50" t="str">
        <f ca="1">IF($Z$7=14,IF($AC$7&lt;&gt;0," ",IF($AF$11=1,$F$33,IF($AF$11=2,$H$33,IF($AF$11=3,$J$33,IF($AF$11=4,$J$33))))),"00")</f>
        <v>00</v>
      </c>
      <c r="AL33" s="41"/>
      <c r="AM33" s="41"/>
      <c r="AN33" s="41"/>
      <c r="AO33" s="41"/>
      <c r="AP33" s="41"/>
    </row>
    <row r="34" spans="1:63" ht="12.75" customHeight="1" x14ac:dyDescent="0.25">
      <c r="A34" s="8" t="s">
        <v>4</v>
      </c>
      <c r="B34" s="20">
        <f ca="1">IF($Z$7=14,$AC$7,0)</f>
        <v>0</v>
      </c>
      <c r="C34" s="95"/>
      <c r="D34" s="81" t="str">
        <f ca="1">IF(B34&gt;0,(D33)-(D33-D35)/12*B34," ")</f>
        <v xml:space="preserve"> </v>
      </c>
      <c r="E34" s="94"/>
      <c r="F34" s="81" t="str">
        <f ca="1">IF(B34&gt;0,(F33)-(F33-F35)/12*B34," ")</f>
        <v xml:space="preserve"> </v>
      </c>
      <c r="G34" s="93"/>
      <c r="H34" s="81" t="str">
        <f ca="1">IF(B34&gt;0,(H33)-(H33-H35)/12*B34," ")</f>
        <v xml:space="preserve"> </v>
      </c>
      <c r="I34" s="98"/>
      <c r="J34" s="106" t="str">
        <f ca="1">IF(B34&gt;0,(J33)-(J33-J35)/12*B34," ")</f>
        <v xml:space="preserve"> </v>
      </c>
      <c r="K34" s="29"/>
      <c r="L34" s="18" t="str">
        <f ca="1">IF($Z$7=14,IF($AC$7=0," ",IF($AF$11=1,D34,IF($AF$11=2,F34,IF($AF$11=3,H34,IF($AF$11=4,J34))))),"")</f>
        <v/>
      </c>
      <c r="M34" s="50" t="str">
        <f ca="1">IF($Z$7=14,IF($AC$7=0," ",IF($AF$11=1,$F$34,IF($AF$11=2,$H$34,IF($AF$11=3,$J$34,IF($AF$11=4,$J$34))))),"")</f>
        <v/>
      </c>
      <c r="N34" s="46"/>
      <c r="AH34" s="46"/>
      <c r="AI34" s="46"/>
      <c r="AJ34" s="46"/>
      <c r="AK34" s="46"/>
      <c r="AL34" s="46"/>
      <c r="AM34" s="41"/>
      <c r="AN34" s="41"/>
      <c r="AO34" s="41"/>
      <c r="AP34" s="41"/>
      <c r="AQ34"/>
      <c r="AR34"/>
      <c r="AS34"/>
      <c r="AT34"/>
      <c r="AU34"/>
      <c r="AV34"/>
      <c r="AW34"/>
      <c r="AX34"/>
      <c r="AY34" s="158" t="s">
        <v>26</v>
      </c>
      <c r="AZ34"/>
      <c r="BA34"/>
      <c r="BB34"/>
      <c r="BC34"/>
      <c r="BD34"/>
      <c r="BE34"/>
      <c r="BF34"/>
      <c r="BG34"/>
      <c r="BH34"/>
      <c r="BI34"/>
      <c r="BJ34"/>
    </row>
    <row r="35" spans="1:63" ht="15.75" customHeight="1" x14ac:dyDescent="0.25">
      <c r="A35" s="9" t="s">
        <v>5</v>
      </c>
      <c r="B35" s="79">
        <v>15</v>
      </c>
      <c r="C35" s="95"/>
      <c r="D35" s="28">
        <f ca="1">IF(F35&lt;&gt;0,(ROUND(SUM(F35)-(SQRT(21-B35)/2)*1000,0)),0)</f>
        <v>11285</v>
      </c>
      <c r="E35" s="94"/>
      <c r="F35" s="28">
        <f ca="1">IF(H35&lt;&gt;0,(ROUND(SUM(H35)-(SQRT(21-B35)/2)*1000,0)),0)</f>
        <v>12510</v>
      </c>
      <c r="G35" s="93"/>
      <c r="H35" s="28">
        <f ca="1">IF(J35&lt;&gt;0,(ROUND(SUM(J35)-(SQRT(21-B35)/2)*1000,0)),0)</f>
        <v>13735</v>
      </c>
      <c r="I35" s="96">
        <v>34</v>
      </c>
      <c r="J35" s="104">
        <f ca="1">SUM(O13)*I35/100</f>
        <v>14960</v>
      </c>
      <c r="K35" s="6"/>
      <c r="L35" s="18" t="str">
        <f ca="1">IF($Z$7=15,IF($AC$7&lt;&gt;0," ",IF($AF$11=1,D35,IF($AF$11=2,F35,IF($AF$11=3,H35,IF($AF$11=4,J35))))),"00")</f>
        <v>00</v>
      </c>
      <c r="M35" s="50" t="str">
        <f ca="1">IF($Z$7=15,IF($AC$7&lt;&gt;0," ",IF($AF$11=1,$F$35,IF($AF$11=2,$H$35,IF($AF$11=3,$J$35,IF($AF$11=4,$J$35))))),"00")</f>
        <v>00</v>
      </c>
      <c r="N35" s="42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1"/>
      <c r="AI35" s="41"/>
      <c r="AJ35" s="41"/>
      <c r="AK35" s="41"/>
      <c r="AL35" s="45"/>
      <c r="AM35" s="41"/>
      <c r="AN35" s="41"/>
      <c r="AO35" s="41"/>
      <c r="AP35" s="41"/>
      <c r="AQ35" s="155">
        <v>2006</v>
      </c>
      <c r="AR35" s="155">
        <v>2007</v>
      </c>
      <c r="AS35" s="155">
        <v>2008</v>
      </c>
      <c r="AT35" s="155">
        <v>2009</v>
      </c>
      <c r="AU35" s="155">
        <v>2010</v>
      </c>
      <c r="AV35" s="155">
        <v>2011</v>
      </c>
      <c r="AW35" s="155">
        <v>2012</v>
      </c>
      <c r="AX35" s="155">
        <v>2013</v>
      </c>
      <c r="AY35" s="155">
        <v>2014</v>
      </c>
      <c r="AZ35" s="155">
        <v>2015</v>
      </c>
      <c r="BA35" s="155">
        <v>2016</v>
      </c>
      <c r="BB35" s="155">
        <v>2017</v>
      </c>
      <c r="BC35" s="155">
        <v>2018</v>
      </c>
      <c r="BD35" s="155">
        <v>2019</v>
      </c>
      <c r="BE35" s="155">
        <v>2020</v>
      </c>
      <c r="BF35" s="155">
        <v>2021</v>
      </c>
      <c r="BG35" s="155">
        <v>2022</v>
      </c>
      <c r="BH35" s="155">
        <v>2023</v>
      </c>
      <c r="BI35" s="155">
        <v>2024</v>
      </c>
      <c r="BJ35" s="155">
        <v>2025</v>
      </c>
      <c r="BK35" s="155">
        <v>2025</v>
      </c>
    </row>
    <row r="36" spans="1:63" ht="12.75" customHeight="1" x14ac:dyDescent="0.35">
      <c r="A36" s="8" t="s">
        <v>4</v>
      </c>
      <c r="B36" s="20">
        <f ca="1">IF($Z$7=15,$AC$7,0)</f>
        <v>0</v>
      </c>
      <c r="C36" s="95"/>
      <c r="D36" s="81" t="str">
        <f ca="1">IF(B36&gt;0,(D35)-(D35-D37)/12*B36," ")</f>
        <v xml:space="preserve"> </v>
      </c>
      <c r="E36" s="94"/>
      <c r="F36" s="81" t="str">
        <f ca="1">IF(B36&gt;0,(F35)-(F35-F37)/12*B36," ")</f>
        <v xml:space="preserve"> </v>
      </c>
      <c r="G36" s="93"/>
      <c r="H36" s="81" t="str">
        <f ca="1">IF(B36&gt;0,(H35)-(H35-H37)/12*B36," ")</f>
        <v xml:space="preserve"> </v>
      </c>
      <c r="I36" s="96"/>
      <c r="J36" s="106" t="str">
        <f ca="1">IF(B36&gt;0,(J35)-(J35-J37)/12*B36," ")</f>
        <v xml:space="preserve"> </v>
      </c>
      <c r="K36" s="10"/>
      <c r="L36" s="18" t="str">
        <f ca="1">IF($Z$7=15,IF($AC$7=0," ",IF($AF$11=1,D36,IF($AF$11=2,F36,IF($AF$11=3,H36,IF($AF$11=4,J36))))),"")</f>
        <v/>
      </c>
      <c r="M36" s="50" t="str">
        <f ca="1">IF($Z$7=15,IF($AC$7=0," ",IF($AF$11=1,$F$36,IF($AF$11=2,$H$36,IF($AF$11=3,$J$36,IF($AF$11=4,$J$36))))),"")</f>
        <v/>
      </c>
      <c r="N36" s="42"/>
      <c r="O36" s="42"/>
      <c r="P36" s="34"/>
      <c r="Q36" s="34"/>
      <c r="R36" s="34"/>
      <c r="S36" s="34"/>
      <c r="T36" s="34"/>
      <c r="U36" s="34"/>
      <c r="V36" s="43"/>
      <c r="W36" s="43"/>
      <c r="X36" s="44"/>
      <c r="Y36" s="44"/>
      <c r="Z36" s="44"/>
      <c r="AA36" s="44"/>
      <c r="AB36" s="44"/>
      <c r="AC36" s="44"/>
      <c r="AD36" s="34"/>
      <c r="AE36" s="34"/>
      <c r="AF36" s="34"/>
      <c r="AG36" s="34"/>
      <c r="AH36" s="41"/>
      <c r="AI36" s="41"/>
      <c r="AJ36" s="41"/>
      <c r="AK36" s="41"/>
      <c r="AL36" s="45"/>
      <c r="AM36" s="41"/>
      <c r="AN36" s="41"/>
      <c r="AO36" s="41"/>
      <c r="AP36" s="41"/>
      <c r="AQ36" s="161">
        <f>SUM(AR36)/(1+0.0297)</f>
        <v>39999.999989849341</v>
      </c>
      <c r="AR36" s="161">
        <f>SUM(AS36)/(1+0.0435)</f>
        <v>41187.999989547869</v>
      </c>
      <c r="AS36" s="154">
        <f>SUM(AT36)/(1+0.0366)</f>
        <v>42979.677989093201</v>
      </c>
      <c r="AT36" s="154">
        <f>SUM(AU36)/(1+0.0334)</f>
        <v>44552.734203494008</v>
      </c>
      <c r="AU36" s="154">
        <f>SUM(AV36)/(1+0.0324)</f>
        <v>46040.79552589071</v>
      </c>
      <c r="AV36" s="154">
        <f>SUM(AW36)/(1+0.0461)</f>
        <v>47532.517300929569</v>
      </c>
      <c r="AW36" s="154">
        <f>SUM(AX36)/(1+0.0532)</f>
        <v>49723.766348502424</v>
      </c>
      <c r="AX36" s="154">
        <f>SUM(AY36)/(1+0.0463)</f>
        <v>52369.07071824275</v>
      </c>
      <c r="AY36" s="154">
        <f>SUM(AZ36)/(1+0.0444)</f>
        <v>54793.758692497388</v>
      </c>
      <c r="AZ36" s="154">
        <f>SUM(BA36)/(1+0.0363)</f>
        <v>57226.601578444272</v>
      </c>
      <c r="BA36" s="154">
        <f>SUM(BB36)/(1+0.0531)</f>
        <v>59303.927215741802</v>
      </c>
      <c r="BB36" s="154">
        <f>SUM(BC36)/(1+0.0731)</f>
        <v>62452.965750897689</v>
      </c>
      <c r="BC36" s="154">
        <f>SUM(BD36)/(1+0.0672)</f>
        <v>67018.277547288308</v>
      </c>
      <c r="BD36" s="154">
        <f>SUM(BE36)/(1+0.0563)</f>
        <v>71521.905798466076</v>
      </c>
      <c r="BE36" s="154">
        <f>SUM(BF36)/(1+0.0571)</f>
        <v>75548.58909491972</v>
      </c>
      <c r="BF36" s="154">
        <f>SUM(BG36)/(1+0.0831)</f>
        <v>79862.413532239632</v>
      </c>
      <c r="BG36" s="154">
        <f>SUM(BH36)/(1+0.0933)</f>
        <v>86498.980096768748</v>
      </c>
      <c r="BH36" s="154">
        <f>SUM(BI36)/(1+0.07)</f>
        <v>94569.334939797263</v>
      </c>
      <c r="BI36" s="154">
        <f>SUM(BJ36)/(1+0.054)</f>
        <v>101189.18838558308</v>
      </c>
      <c r="BJ36" s="116">
        <f>SUM(BK36)/(1+0.053)</f>
        <v>106653.40455840457</v>
      </c>
      <c r="BK36" s="116">
        <f>SUM(BK37)</f>
        <v>112306.035</v>
      </c>
    </row>
    <row r="37" spans="1:63" ht="12.75" customHeight="1" x14ac:dyDescent="0.35">
      <c r="A37" s="9" t="s">
        <v>5</v>
      </c>
      <c r="B37" s="79">
        <v>16</v>
      </c>
      <c r="C37" s="95"/>
      <c r="D37" s="28">
        <f ca="1">IF(F37&lt;&gt;0,(ROUND(SUM(F37)-(SQRT(21-B37)/2)*1000,0)),0)</f>
        <v>10726</v>
      </c>
      <c r="E37" s="94"/>
      <c r="F37" s="28">
        <f ca="1">IF(H37&lt;&gt;0,(ROUND(SUM(H37)-(SQRT(21-B37)/2)*1000,0)),0)</f>
        <v>11844</v>
      </c>
      <c r="G37" s="93"/>
      <c r="H37" s="28">
        <f ca="1">IF(J37&lt;&gt;0,(ROUND(SUM(J37)-(SQRT(21-B37)/2)*1000,0)),0)</f>
        <v>12962</v>
      </c>
      <c r="I37" s="96">
        <v>32</v>
      </c>
      <c r="J37" s="104">
        <f ca="1">SUM(O13)*I37/100</f>
        <v>14080</v>
      </c>
      <c r="K37" s="10"/>
      <c r="L37" s="18" t="str">
        <f ca="1">IF($Z$7=16,IF($AC$7&lt;&gt;0," ",IF($AF$11=1,D37,IF($AF$11=2,F37,IF($AF$11=3,H37,IF($AF$11=4,J37))))),"00")</f>
        <v>00</v>
      </c>
      <c r="M37" s="50" t="str">
        <f ca="1">IF($Z$7=16,IF($AC$7&lt;&gt;0," ",IF($AF$11=1,$F$37,IF($AF$11=2,$H$37,IF($AF$11=3,$J$37,IF($AF$11=4,$J$37))))),"00")</f>
        <v>00</v>
      </c>
      <c r="N37" s="48"/>
      <c r="O37" s="42"/>
      <c r="P37" s="34"/>
      <c r="Q37" s="34"/>
      <c r="R37" s="34"/>
      <c r="S37" s="34"/>
      <c r="T37" s="34"/>
      <c r="U37" s="34"/>
      <c r="V37" s="43"/>
      <c r="W37" s="43"/>
      <c r="X37" s="44"/>
      <c r="Y37" s="44"/>
      <c r="Z37" s="44"/>
      <c r="AA37" s="44"/>
      <c r="AB37" s="44"/>
      <c r="AC37" s="44"/>
      <c r="AD37" s="34"/>
      <c r="AE37" s="34"/>
      <c r="AF37" s="34"/>
      <c r="AG37" s="34"/>
      <c r="AH37" s="41"/>
      <c r="AI37" s="41"/>
      <c r="AJ37" s="41"/>
      <c r="AK37" s="41"/>
      <c r="AL37" s="41"/>
      <c r="AM37" s="41"/>
      <c r="AN37" s="41"/>
      <c r="AO37" s="41"/>
      <c r="AP37" s="41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>
        <v>112306.035</v>
      </c>
    </row>
    <row r="38" spans="1:63" ht="12.75" customHeight="1" x14ac:dyDescent="0.25">
      <c r="A38" s="8" t="s">
        <v>4</v>
      </c>
      <c r="B38" s="20">
        <f ca="1">IF($Z$7=16,$AC$7,0)</f>
        <v>0</v>
      </c>
      <c r="C38" s="95"/>
      <c r="D38" s="81" t="str">
        <f ca="1">IF(B38&gt;0,(D37)-(D37-D39)/12*B38," ")</f>
        <v xml:space="preserve"> </v>
      </c>
      <c r="E38" s="94"/>
      <c r="F38" s="81" t="str">
        <f ca="1">IF(B38&gt;0,(F37)-(F37-F39)/12*B38," ")</f>
        <v xml:space="preserve"> </v>
      </c>
      <c r="G38" s="93"/>
      <c r="H38" s="81" t="str">
        <f ca="1">IF(B38&gt;0,(H37)-(H37-H39)/12*B38," ")</f>
        <v xml:space="preserve"> </v>
      </c>
      <c r="I38" s="96"/>
      <c r="J38" s="106" t="str">
        <f ca="1">IF(B38&gt;0,(J37)-(J37-J39)/12*B38," ")</f>
        <v xml:space="preserve"> </v>
      </c>
      <c r="K38" s="10"/>
      <c r="L38" s="7" t="str">
        <f ca="1">IF($Z$7=16,IF($AC$7=0," ",IF($AF$11=1,D38,IF($AF$11=2,F38,IF($AF$11=3,H38,IF($AF$11=4,J38))))),"")</f>
        <v/>
      </c>
      <c r="M38" s="50" t="str">
        <f ca="1">IF($Z$7=16,IF($AC$7=0," ",IF($AF$11=1,$F$38,IF($AF$11=2,$H$38,IF($AF$11=3,$J$38,IF($AF$11=4,$J$38))))),"")</f>
        <v/>
      </c>
      <c r="N38" s="48"/>
      <c r="O38" s="48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</row>
    <row r="39" spans="1:63" ht="15" x14ac:dyDescent="0.25">
      <c r="A39" s="8"/>
      <c r="B39" s="79">
        <v>17</v>
      </c>
      <c r="C39" s="95"/>
      <c r="D39" s="28">
        <f ca="1">IF(F39&lt;&gt;0,(ROUND(SUM(F39)-(SQRT(21-B39)/2)*1000,0)),0)</f>
        <v>10640</v>
      </c>
      <c r="E39" s="94"/>
      <c r="F39" s="28">
        <f ca="1">IF(H39&lt;&gt;0,(ROUND(SUM(H39)-(SQRT(21-B39)/2)*1000,0)),0)</f>
        <v>11640</v>
      </c>
      <c r="G39" s="93"/>
      <c r="H39" s="28">
        <f ca="1">IF(J39&lt;&gt;0,(ROUND(SUM(J39)-(SQRT(21-B39)/2)*1000,0)),0)</f>
        <v>12640</v>
      </c>
      <c r="I39" s="96">
        <v>31</v>
      </c>
      <c r="J39" s="104">
        <f ca="1">SUM(O13)*I39/100</f>
        <v>13640</v>
      </c>
      <c r="K39" s="10"/>
      <c r="L39" s="18" t="str">
        <f ca="1">IF($Z$7=17,IF($AC$7&lt;&gt;0," ",IF($AF$11=1,D39,IF($AF$11=2,F39,IF($AF$11=3,H39,IF($AF$11=4,J39))))),"00")</f>
        <v>00</v>
      </c>
      <c r="M39" s="50" t="str">
        <f ca="1">IF($Z$7=17,IF($AC$7&lt;&gt;0," ",IF($AF$11=1,$F$39,IF($AF$11=2,$H$39,IF($AF$11=3,$J$39,IF($AF$11=4,$J$39))))),"00")</f>
        <v>00</v>
      </c>
      <c r="N39" s="48"/>
      <c r="O39" s="48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</row>
    <row r="40" spans="1:63" ht="18" x14ac:dyDescent="0.25">
      <c r="A40" s="8" t="s">
        <v>4</v>
      </c>
      <c r="B40" s="20">
        <f ca="1">IF($Z$7=17,$AC$7,0)</f>
        <v>0</v>
      </c>
      <c r="C40" s="95"/>
      <c r="D40" s="81" t="str">
        <f ca="1">IF(B40&gt;0,(D39)-(D39-D41)/12*B40," ")</f>
        <v xml:space="preserve"> </v>
      </c>
      <c r="E40" s="94"/>
      <c r="F40" s="81" t="str">
        <f ca="1">IF(B40&gt;0,(F39)-(F39-F41)/12*B40," ")</f>
        <v xml:space="preserve"> </v>
      </c>
      <c r="G40" s="93"/>
      <c r="H40" s="81" t="str">
        <f ca="1">IF(B40&gt;0,(H39)-(H39-H41)/12*B40," ")</f>
        <v xml:space="preserve"> </v>
      </c>
      <c r="I40" s="96"/>
      <c r="J40" s="106" t="str">
        <f ca="1">IF(B40&gt;0,(J39)-(J39-J41)/12*B40," ")</f>
        <v xml:space="preserve"> </v>
      </c>
      <c r="K40" s="10"/>
      <c r="L40" s="7" t="str">
        <f ca="1">IF($Z$7=17,IF($AC$7=0," ",IF($AF$11=1,D40,IF($AF$11=2,F40,IF($AF$11=3,H40,IF($AF$11=4,J40))))),"")</f>
        <v/>
      </c>
      <c r="M40" s="50" t="str">
        <f ca="1">IF($Z$7=17,IF($AC$7=0," ",IF($AF$11=1,$F$40,IF($AF$11=2,$H$40,IF($AF$11=3,$J$40,IF($AF$11=4,$J$40))))),"")</f>
        <v/>
      </c>
      <c r="N40" s="49"/>
      <c r="O40" s="48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53"/>
      <c r="AI40" s="53"/>
      <c r="AJ40" s="53"/>
      <c r="AK40" s="53"/>
      <c r="AL40" s="53"/>
      <c r="AM40" s="53"/>
      <c r="AN40" s="41"/>
      <c r="AO40" s="41"/>
      <c r="AP40" s="41"/>
      <c r="AQ40" s="41"/>
    </row>
    <row r="41" spans="1:63" ht="18" x14ac:dyDescent="0.25">
      <c r="A41" s="9" t="s">
        <v>5</v>
      </c>
      <c r="B41" s="79">
        <v>18</v>
      </c>
      <c r="C41" s="95"/>
      <c r="D41" s="28">
        <f ca="1">IF(F41&lt;&gt;0,(ROUND(SUM(F41)-(SQRT(21-B41)/2)*1000,0)),0)</f>
        <v>10602</v>
      </c>
      <c r="E41" s="94"/>
      <c r="F41" s="28">
        <f ca="1">IF(H41&lt;&gt;0,(ROUND(SUM(H41)-(SQRT(21-B41)/2)*1000,0)),0)</f>
        <v>11468</v>
      </c>
      <c r="G41" s="93"/>
      <c r="H41" s="28">
        <f ca="1">IF(J41&lt;&gt;0,(ROUND(SUM(J41)-(SQRT(21-B41)/2)*1000,0)),0)</f>
        <v>12334</v>
      </c>
      <c r="I41" s="96">
        <v>30</v>
      </c>
      <c r="J41" s="104">
        <f ca="1">SUM(O13)*I41/100</f>
        <v>13200</v>
      </c>
      <c r="K41" s="10"/>
      <c r="L41" s="18" t="str">
        <f ca="1">IF($Z$7=18,IF($AC$7&lt;&gt;0," ",IF($AF$11=1,D41,IF($AF$11=2,F41,IF($AF$11=3,H41,IF($AF$11=4,J41))))),"00")</f>
        <v>00</v>
      </c>
      <c r="M41" s="50" t="str">
        <f ca="1">IF($Z$7=18,IF($AC$7&lt;&gt;0," ",IF($AF$11=1,$F$41,IF($AF$11=2,$H$41,IF($AF$11=3,$J$41,IF($AF$11=4,$J$41))))),"00")</f>
        <v>00</v>
      </c>
      <c r="N41" s="48"/>
      <c r="O41" s="5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41"/>
      <c r="AO41" s="41"/>
      <c r="AP41" s="41"/>
      <c r="AQ41" s="41"/>
    </row>
    <row r="42" spans="1:63" ht="15" x14ac:dyDescent="0.25">
      <c r="A42" s="8" t="s">
        <v>4</v>
      </c>
      <c r="B42" s="20">
        <f ca="1">IF($Z$7=18,$AC$7,0)</f>
        <v>0</v>
      </c>
      <c r="C42" s="95"/>
      <c r="D42" s="81" t="str">
        <f ca="1">IF(B42&gt;0,(D41)-(D41-D43)/12*B42," ")</f>
        <v xml:space="preserve"> </v>
      </c>
      <c r="E42" s="94"/>
      <c r="F42" s="81" t="str">
        <f ca="1">IF(B42&gt;0,(F41)-(F41-F43)/12*B42," ")</f>
        <v xml:space="preserve"> </v>
      </c>
      <c r="G42" s="93"/>
      <c r="H42" s="81" t="str">
        <f ca="1">IF(B42&gt;0,(H41)-(H41-H43)/12*B42," ")</f>
        <v xml:space="preserve"> </v>
      </c>
      <c r="I42" s="96"/>
      <c r="J42" s="106" t="str">
        <f ca="1">IF(B42&gt;0,(J41)-(J41-J43)/12*B42," ")</f>
        <v xml:space="preserve"> </v>
      </c>
      <c r="K42" s="10"/>
      <c r="L42" s="7" t="str">
        <f ca="1">IF($Z$7=18,IF($AC$7=0," ",IF($AF$11=1,D42,IF($AF$11=2,F42,IF($AF$11=3,H42,IF($AF$11=4,J42))))),"")</f>
        <v/>
      </c>
      <c r="M42" s="50" t="str">
        <f ca="1">IF($Z$7=18,IF($AC$7=0," ",IF($AF$11=1,F42,IF($AF$11=2,H42,IF($AF$11=3,J42,IF($AF$11=4,J42))))),"")</f>
        <v/>
      </c>
      <c r="N42" s="48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41"/>
      <c r="AO42" s="41"/>
      <c r="AP42" s="41"/>
      <c r="AQ42" s="41"/>
    </row>
    <row r="43" spans="1:63" ht="15" x14ac:dyDescent="0.25">
      <c r="A43" s="9" t="s">
        <v>5</v>
      </c>
      <c r="B43" s="79">
        <v>19</v>
      </c>
      <c r="C43" s="95"/>
      <c r="D43" s="28">
        <f ca="1">IF(F43&lt;&gt;0,(ROUND(SUM(F43)-(SQRT(21-B43)/2)*1000,0)),0)</f>
        <v>10639</v>
      </c>
      <c r="E43" s="94"/>
      <c r="F43" s="28">
        <f ca="1">IF(H43&lt;&gt;0,(ROUND(SUM(H43)-(SQRT(21-B43)/2)*1000,0)),0)</f>
        <v>11346</v>
      </c>
      <c r="G43" s="93"/>
      <c r="H43" s="28">
        <f ca="1">IF(J43&lt;&gt;0,(ROUND(SUM(J43)-(SQRT(21-B43)/2)*1000,0)),0)</f>
        <v>12053</v>
      </c>
      <c r="I43" s="96">
        <v>29</v>
      </c>
      <c r="J43" s="104">
        <f ca="1">SUM(O13)*I43/100</f>
        <v>12760</v>
      </c>
      <c r="K43" s="10"/>
      <c r="L43" s="18" t="str">
        <f ca="1">IF($Z$7=19,IF($AC$7&lt;&gt;0," ",IF($AF$11=1,D43,IF($AF$11=2,F43,IF($AF$11=3,H43,IF($AF$11=4,J43))))),"00")</f>
        <v>00</v>
      </c>
      <c r="M43" s="50" t="str">
        <f ca="1">IF($Z$7=19,IF($AC$7&lt;&gt;0," ",IF($AF$11=1,F43,IF($AF$11=2,H43,IF($AF$11=3,J43,IF($AF$11=4,J43))))),"00")</f>
        <v>00</v>
      </c>
      <c r="N43" s="48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41"/>
      <c r="AO43" s="41"/>
      <c r="AP43" s="41"/>
      <c r="AQ43" s="41"/>
      <c r="AR43" s="41"/>
    </row>
    <row r="44" spans="1:63" ht="15" x14ac:dyDescent="0.25">
      <c r="A44" s="8" t="s">
        <v>4</v>
      </c>
      <c r="B44" s="20">
        <f ca="1">IF($Z$7=19,$AC$7,0)</f>
        <v>0</v>
      </c>
      <c r="C44" s="95"/>
      <c r="D44" s="81" t="str">
        <f ca="1">IF(B44&gt;0,(D43)-(D43-D45)/12*B44," ")</f>
        <v xml:space="preserve"> </v>
      </c>
      <c r="E44" s="94"/>
      <c r="F44" s="81" t="str">
        <f ca="1">IF(B44&gt;0,(F43)-(F43-F45)/12*B44," ")</f>
        <v xml:space="preserve"> </v>
      </c>
      <c r="G44" s="93"/>
      <c r="H44" s="81" t="str">
        <f ca="1">IF(B44&gt;0,(H43)-(H43-H45)/12*B44," ")</f>
        <v xml:space="preserve"> </v>
      </c>
      <c r="I44" s="96"/>
      <c r="J44" s="106" t="str">
        <f ca="1">IF(B44&gt;0,(J43)-(J43-J45)/12*B44," ")</f>
        <v xml:space="preserve"> </v>
      </c>
      <c r="K44" s="10"/>
      <c r="L44" s="7" t="str">
        <f ca="1">IF($Z$7=19,IF($AC$7=0," ",IF($AF$11=1,D44,IF($AF$11=2,F44,IF($AF$11=3,H44,IF($AF$11=4,J44))))),"")</f>
        <v/>
      </c>
      <c r="M44" s="50" t="str">
        <f ca="1">IF($Z$7=19,IF($AC$7=0," ",IF($AF$11=1,F44,IF($AF$11=2,H44,IF($AF$11=3,J44,IF($AF$11=4,J44))))),"")</f>
        <v/>
      </c>
      <c r="N44" s="48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O44" s="41"/>
      <c r="AP44" s="41"/>
      <c r="AQ44" s="41"/>
    </row>
    <row r="45" spans="1:63" ht="15.75" x14ac:dyDescent="0.25">
      <c r="A45" s="9" t="s">
        <v>5</v>
      </c>
      <c r="B45" s="79">
        <v>20</v>
      </c>
      <c r="C45" s="95"/>
      <c r="D45" s="28">
        <f ca="1">IF(F45&lt;&gt;0,(ROUND(SUM(F45)-(SQRT(21-B45)/2)*1000,0)),0)</f>
        <v>10820</v>
      </c>
      <c r="E45" s="94"/>
      <c r="F45" s="28">
        <f ca="1">IF(H45&lt;&gt;0,(ROUND(SUM(H45)-(SQRT(21-B45)/2)*1000,0)),0)</f>
        <v>11320</v>
      </c>
      <c r="G45" s="93"/>
      <c r="H45" s="28">
        <f ca="1">IF(J45&lt;&gt;0,(ROUND(SUM(J45)-(SQRT(21-B45)/2)*1000,0)),0)</f>
        <v>11820</v>
      </c>
      <c r="I45" s="96">
        <v>28</v>
      </c>
      <c r="J45" s="104">
        <f ca="1">SUM(O13)*I45/100</f>
        <v>12320</v>
      </c>
      <c r="K45" s="10"/>
      <c r="L45" s="18" t="str">
        <f ca="1">IF($Z$7=20,IF($AC$7&lt;&gt;0," ",IF($AF$11=1,D45,IF($AF$11=2,F45,IF($AF$11=3,H45,IF($AF$11=4,J45))))),"00")</f>
        <v>00</v>
      </c>
      <c r="M45" s="50" t="str">
        <f ca="1">IF($Z$7=20,IF($AC$7&lt;&gt;0," ",IF($AF$11=1,F45,IF($AF$11=2,H45,IF($AF$11=3,J45,IF($AF$11=4,J45))))),"00")</f>
        <v>00</v>
      </c>
      <c r="O45" s="53"/>
      <c r="P45" s="53"/>
      <c r="Q45" s="111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53"/>
      <c r="AI45" s="53"/>
      <c r="AJ45" s="53"/>
      <c r="AK45" s="53"/>
      <c r="AL45" s="53"/>
      <c r="AM45" s="53"/>
      <c r="AO45" s="41"/>
      <c r="AP45" s="41"/>
      <c r="AQ45" s="41"/>
    </row>
    <row r="46" spans="1:63" x14ac:dyDescent="0.2">
      <c r="A46" s="10"/>
      <c r="B46" s="10"/>
      <c r="C46" s="10"/>
      <c r="D46" s="10"/>
      <c r="E46" s="29"/>
      <c r="F46" s="29"/>
      <c r="G46" s="29"/>
      <c r="H46" s="29"/>
      <c r="I46" s="29"/>
      <c r="J46" s="29"/>
      <c r="K46" s="29"/>
      <c r="L46" s="3">
        <f ca="1">SUM(L4:L45)</f>
        <v>28559.833333333332</v>
      </c>
      <c r="M46" s="50">
        <f ca="1">SUM(M4:M45)</f>
        <v>30616.666666666668</v>
      </c>
      <c r="N46" s="30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O46" s="41"/>
      <c r="AP46" s="41"/>
      <c r="AQ46" s="41"/>
    </row>
    <row r="47" spans="1:63" x14ac:dyDescent="0.2"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</row>
    <row r="48" spans="1:63" x14ac:dyDescent="0.2">
      <c r="L48" s="3"/>
      <c r="M48" s="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</row>
    <row r="49" spans="15:39" x14ac:dyDescent="0.2"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</row>
    <row r="50" spans="15:39" x14ac:dyDescent="0.2"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</row>
    <row r="51" spans="15:39" x14ac:dyDescent="0.2"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</row>
    <row r="52" spans="15:39" x14ac:dyDescent="0.2"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</row>
    <row r="53" spans="15:39" x14ac:dyDescent="0.2"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</row>
    <row r="54" spans="15:39" x14ac:dyDescent="0.2"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</row>
    <row r="55" spans="15:39" x14ac:dyDescent="0.2"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</row>
  </sheetData>
  <sheetProtection password="D5E4" sheet="1" objects="1" scenarios="1"/>
  <dataConsolidate/>
  <mergeCells count="36">
    <mergeCell ref="R45:AG45"/>
    <mergeCell ref="AC13:AC14"/>
    <mergeCell ref="O19:S19"/>
    <mergeCell ref="U15:AE15"/>
    <mergeCell ref="T19:AH19"/>
    <mergeCell ref="AF13:AG14"/>
    <mergeCell ref="AC17:AE17"/>
    <mergeCell ref="AB13:AB14"/>
    <mergeCell ref="AD13:AD14"/>
    <mergeCell ref="O15:S15"/>
    <mergeCell ref="O13:S14"/>
    <mergeCell ref="AQ3:AV3"/>
    <mergeCell ref="V4:AG5"/>
    <mergeCell ref="U6:X6"/>
    <mergeCell ref="AE7:AG7"/>
    <mergeCell ref="AI9:AI10"/>
    <mergeCell ref="Y8:AC10"/>
    <mergeCell ref="U9:X10"/>
    <mergeCell ref="U8:X8"/>
    <mergeCell ref="AI2:AJ2"/>
    <mergeCell ref="Q1:AE2"/>
    <mergeCell ref="O6:S6"/>
    <mergeCell ref="O7:S7"/>
    <mergeCell ref="O4:U5"/>
    <mergeCell ref="AC3:AG3"/>
    <mergeCell ref="AE6:AG6"/>
    <mergeCell ref="U7:X7"/>
    <mergeCell ref="Y6:AD6"/>
    <mergeCell ref="U11:AD12"/>
    <mergeCell ref="U13:AA14"/>
    <mergeCell ref="O3:AB3"/>
    <mergeCell ref="AD8:AG10"/>
    <mergeCell ref="O9:S10"/>
    <mergeCell ref="O8:S8"/>
    <mergeCell ref="AF11:AG12"/>
    <mergeCell ref="O11:S12"/>
  </mergeCells>
  <phoneticPr fontId="2" type="noConversion"/>
  <conditionalFormatting sqref="V4">
    <cfRule type="expression" dxfId="23" priority="96" stopIfTrue="1">
      <formula>O4="AUTRE"</formula>
    </cfRule>
    <cfRule type="expression" dxfId="22" priority="97" stopIfTrue="1">
      <formula>O4="VOITURE"</formula>
    </cfRule>
  </conditionalFormatting>
  <conditionalFormatting sqref="O3">
    <cfRule type="expression" dxfId="21" priority="118" stopIfTrue="1">
      <formula>$O$4="AUTRE"</formula>
    </cfRule>
  </conditionalFormatting>
  <conditionalFormatting sqref="O3:AA3">
    <cfRule type="expression" dxfId="20" priority="83" stopIfTrue="1">
      <formula>O3="  APPLICATION LIMITEE A :"</formula>
    </cfRule>
  </conditionalFormatting>
  <conditionalFormatting sqref="AC3">
    <cfRule type="expression" dxfId="19" priority="82" stopIfTrue="1">
      <formula>AC3="20 Ans"</formula>
    </cfRule>
  </conditionalFormatting>
  <conditionalFormatting sqref="O6">
    <cfRule type="expression" dxfId="18" priority="69" stopIfTrue="1">
      <formula>AE7&lt;U7</formula>
    </cfRule>
  </conditionalFormatting>
  <conditionalFormatting sqref="T6">
    <cfRule type="expression" dxfId="17" priority="57" stopIfTrue="1">
      <formula>AE7&lt;U7</formula>
    </cfRule>
  </conditionalFormatting>
  <conditionalFormatting sqref="U6">
    <cfRule type="expression" dxfId="16" priority="56" stopIfTrue="1">
      <formula>AE7&lt;U7</formula>
    </cfRule>
  </conditionalFormatting>
  <conditionalFormatting sqref="V6:X6">
    <cfRule type="expression" dxfId="15" priority="134" stopIfTrue="1">
      <formula>AG7&lt;V7</formula>
    </cfRule>
  </conditionalFormatting>
  <conditionalFormatting sqref="Y6:AD6">
    <cfRule type="expression" priority="135" stopIfTrue="1">
      <formula>#REF!</formula>
    </cfRule>
  </conditionalFormatting>
  <conditionalFormatting sqref="O13 T13:T14">
    <cfRule type="expression" dxfId="14" priority="2" stopIfTrue="1">
      <formula>AJ10&lt;YEAR(AJ5)</formula>
    </cfRule>
    <cfRule type="expression" dxfId="13" priority="51" stopIfTrue="1">
      <formula>O13="DATE EXPIREE"</formula>
    </cfRule>
  </conditionalFormatting>
  <conditionalFormatting sqref="O19">
    <cfRule type="expression" dxfId="12" priority="38" stopIfTrue="1">
      <formula>O13="Voir OBSERVATION"</formula>
    </cfRule>
  </conditionalFormatting>
  <conditionalFormatting sqref="T19:AH19">
    <cfRule type="expression" dxfId="11" priority="36" stopIfTrue="1">
      <formula>O13= "VOIR OBSERVATION"</formula>
    </cfRule>
  </conditionalFormatting>
  <conditionalFormatting sqref="AC3">
    <cfRule type="expression" dxfId="10" priority="34" stopIfTrue="1">
      <formula>$O$4="AUTRE"</formula>
    </cfRule>
  </conditionalFormatting>
  <conditionalFormatting sqref="O8">
    <cfRule type="expression" dxfId="9" priority="26" stopIfTrue="1">
      <formula>O8="Date évaluation &lt; à la date de 1ère MC."</formula>
    </cfRule>
  </conditionalFormatting>
  <conditionalFormatting sqref="U8">
    <cfRule type="expression" dxfId="8" priority="25" stopIfTrue="1">
      <formula>U8="Date évaluation &lt; à la date de 1ère MC."</formula>
    </cfRule>
  </conditionalFormatting>
  <conditionalFormatting sqref="AF13:AG14">
    <cfRule type="expression" dxfId="7" priority="21" stopIfTrue="1">
      <formula>AB13=""</formula>
    </cfRule>
  </conditionalFormatting>
  <conditionalFormatting sqref="Y8">
    <cfRule type="expression" dxfId="6" priority="8" stopIfTrue="1">
      <formula>O4="AUTRE"</formula>
    </cfRule>
    <cfRule type="expression" dxfId="5" priority="10" stopIfTrue="1">
      <formula>O4="VOITURE"</formula>
    </cfRule>
  </conditionalFormatting>
  <conditionalFormatting sqref="AC3:AG3">
    <cfRule type="expression" dxfId="4" priority="5" stopIfTrue="1">
      <formula>AC3="20 Ans"</formula>
    </cfRule>
  </conditionalFormatting>
  <conditionalFormatting sqref="AD8">
    <cfRule type="expression" dxfId="3" priority="138" stopIfTrue="1">
      <formula>O4="AUTRE"</formula>
    </cfRule>
    <cfRule type="expression" dxfId="2" priority="139" stopIfTrue="1">
      <formula>O4="VOITURE"</formula>
    </cfRule>
  </conditionalFormatting>
  <conditionalFormatting sqref="O9:S10">
    <cfRule type="expression" dxfId="1" priority="4" stopIfTrue="1">
      <formula>AJ10&lt;YEAR(AJ5)</formula>
    </cfRule>
  </conditionalFormatting>
  <conditionalFormatting sqref="U9:X10">
    <cfRule type="expression" dxfId="0" priority="3" stopIfTrue="1">
      <formula>U9&lt;YEAR(AJ5)</formula>
    </cfRule>
  </conditionalFormatting>
  <dataValidations count="7">
    <dataValidation type="list" allowBlank="1" showInputMessage="1" showErrorMessage="1" sqref="O4">
      <formula1>" VOITURE,AUTRE"</formula1>
    </dataValidation>
    <dataValidation type="list" allowBlank="1" showInputMessage="1" showErrorMessage="1" sqref="AF13">
      <formula1>"Oui,Non"</formula1>
    </dataValidation>
    <dataValidation type="whole" allowBlank="1" showInputMessage="1" showErrorMessage="1" sqref="AF15">
      <formula1>-20</formula1>
      <formula2>20</formula2>
    </dataValidation>
    <dataValidation type="whole" allowBlank="1" showInputMessage="1" showErrorMessage="1" sqref="AJ14 AF11 AE12">
      <formula1>1</formula1>
      <formula2>4</formula2>
    </dataValidation>
    <dataValidation type="whole" allowBlank="1" showInputMessage="1" showErrorMessage="1" sqref="AJ13">
      <formula1>2006</formula1>
      <formula2>2026</formula2>
    </dataValidation>
    <dataValidation type="date" allowBlank="1" showInputMessage="1" showErrorMessage="1" sqref="U7:X7">
      <formula1>O7</formula1>
      <formula2>AE7</formula2>
    </dataValidation>
    <dataValidation type="whole" showInputMessage="1" showErrorMessage="1" sqref="U9:X10">
      <formula1>YEAR(O7)</formula1>
      <formula2>YEAR(AJ5)</formula2>
    </dataValidation>
  </dataValidations>
  <pageMargins left="0.19685039370078741" right="0.19685039370078741" top="0.19685039370078741" bottom="0.19685039370078741" header="0.51181102362204722" footer="0.51181102362204722"/>
  <pageSetup paperSize="9" orientation="landscape" horizontalDpi="4294967294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0" r:id="rId4" name="Button 1120">
              <controlPr defaultSize="0" print="0" autoFill="0" autoPict="0" macro="[0]!Macro1">
                <anchor moveWithCells="1" sizeWithCells="1">
                  <from>
                    <xdr:col>14</xdr:col>
                    <xdr:colOff>95250</xdr:colOff>
                    <xdr:row>14</xdr:row>
                    <xdr:rowOff>47625</xdr:rowOff>
                  </from>
                  <to>
                    <xdr:col>18</xdr:col>
                    <xdr:colOff>190500</xdr:colOff>
                    <xdr:row>14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4:U20"/>
  <sheetViews>
    <sheetView workbookViewId="0">
      <selection activeCell="A9" sqref="A9:T12"/>
    </sheetView>
  </sheetViews>
  <sheetFormatPr baseColWidth="10" defaultRowHeight="12.75" x14ac:dyDescent="0.2"/>
  <cols>
    <col min="1" max="19" width="9.28515625" customWidth="1"/>
    <col min="20" max="20" width="11" customWidth="1"/>
    <col min="21" max="21" width="9.28515625" customWidth="1"/>
  </cols>
  <sheetData>
    <row r="4" spans="1:21" x14ac:dyDescent="0.2">
      <c r="I4" s="158" t="s">
        <v>27</v>
      </c>
    </row>
    <row r="5" spans="1:21" ht="15" x14ac:dyDescent="0.25">
      <c r="A5" s="114">
        <v>2006</v>
      </c>
      <c r="B5" s="114">
        <v>2007</v>
      </c>
      <c r="C5" s="114">
        <v>2008</v>
      </c>
      <c r="D5" s="114">
        <v>2009</v>
      </c>
      <c r="E5" s="114">
        <v>2010</v>
      </c>
      <c r="F5" s="114">
        <v>2011</v>
      </c>
      <c r="G5" s="114">
        <v>2012</v>
      </c>
      <c r="H5" s="114">
        <v>2013</v>
      </c>
      <c r="I5" s="114">
        <v>2014</v>
      </c>
      <c r="J5" s="114">
        <v>2015</v>
      </c>
      <c r="K5" s="114">
        <v>2016</v>
      </c>
      <c r="L5" s="114">
        <v>2017</v>
      </c>
      <c r="M5" s="114">
        <v>2018</v>
      </c>
      <c r="N5" s="114">
        <v>2019</v>
      </c>
      <c r="O5" s="114">
        <v>2020</v>
      </c>
      <c r="P5" s="114">
        <v>2021</v>
      </c>
      <c r="Q5" s="114">
        <v>2022</v>
      </c>
      <c r="R5" s="114">
        <v>2023</v>
      </c>
      <c r="S5" s="114">
        <v>2024</v>
      </c>
      <c r="T5" s="114">
        <v>2025</v>
      </c>
    </row>
    <row r="6" spans="1:21" ht="15" x14ac:dyDescent="0.25">
      <c r="A6" s="116">
        <f>SUM(A7)</f>
        <v>30000</v>
      </c>
      <c r="B6" s="116">
        <f>IF(A6=0,B7,SUM(A6)*(1+0.0297))</f>
        <v>30891</v>
      </c>
      <c r="C6" s="116">
        <f>IF(B6=0,C7,SUM(B6)*(1+0.0435))</f>
        <v>32234.758500000004</v>
      </c>
      <c r="D6" s="116">
        <f>IF(C6=0,D7,SUM(C6)*(1+0.0366))</f>
        <v>33414.550661100002</v>
      </c>
      <c r="E6" s="116">
        <f>IF(D6=0,E7,SUM(D6)*(1+0.0334))</f>
        <v>34530.596653180743</v>
      </c>
      <c r="F6" s="116">
        <f>IF(E6=0,F7,SUM(E6)*(1+0.0324))</f>
        <v>35649.3879847438</v>
      </c>
      <c r="G6" s="116">
        <f>IF(F6=0,G7,SUM(F6)*(1+0.0461))</f>
        <v>37292.824770840489</v>
      </c>
      <c r="H6" s="116">
        <f>IF(G6=0,H7,SUM(G6)*(1+0.0532))</f>
        <v>39276.803048649199</v>
      </c>
      <c r="I6" s="116">
        <f>IF(H6=0,I7,SUM(H6)*(1+0.0463))</f>
        <v>41095.319029801656</v>
      </c>
      <c r="J6" s="116">
        <f>IF(I6=0,J7,SUM(I6)*(1+0.0444))</f>
        <v>42919.951194724847</v>
      </c>
      <c r="K6" s="116">
        <f>IF(J6=0,K7,SUM(J6)*(1+0.0363))</f>
        <v>44477.945423093355</v>
      </c>
      <c r="L6" s="116">
        <f>IF(K6=0,L7,SUM(K6)*(1+0.0531))</f>
        <v>46839.724325059608</v>
      </c>
      <c r="M6" s="116">
        <f>IF(L6=0,M7,SUM(L6)*(1+0.0731))</f>
        <v>50263.708173221465</v>
      </c>
      <c r="N6" s="116">
        <f>IF(M6=0,N7,SUM(M6)*(1+0.0672))</f>
        <v>53641.429362461946</v>
      </c>
      <c r="O6" s="116">
        <f>IF(N6=0,O7,SUM(N6)*(1+0.0563))</f>
        <v>56661.441835568556</v>
      </c>
      <c r="P6" s="116">
        <f>IF(O6=0,P7,SUM(O6)*(1+0.0571))</f>
        <v>59896.810164379516</v>
      </c>
      <c r="Q6" s="116">
        <f>IF(P6=0,Q7,SUM(P6)*(1+0.0831))</f>
        <v>64874.235089039452</v>
      </c>
      <c r="R6" s="116">
        <f>IF(Q6=0,R7,SUM(Q6)*(1+0.0933))</f>
        <v>70927.001222846826</v>
      </c>
      <c r="S6" s="116">
        <f>IF(R6=0,S7,SUM(R6)*(1+0.07))</f>
        <v>75891.891308446109</v>
      </c>
      <c r="T6" s="116">
        <f>IF(S6=0,T7,SUM(S6)*(1+0.0054))</f>
        <v>76301.707521511722</v>
      </c>
    </row>
    <row r="7" spans="1:21" ht="15" x14ac:dyDescent="0.25">
      <c r="A7" s="115">
        <v>30000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>
        <v>84779.391000000003</v>
      </c>
    </row>
    <row r="8" spans="1:21" ht="15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7"/>
    </row>
    <row r="9" spans="1:21" x14ac:dyDescent="0.2">
      <c r="I9" s="158" t="s">
        <v>26</v>
      </c>
    </row>
    <row r="10" spans="1:21" ht="15" x14ac:dyDescent="0.25">
      <c r="A10" s="155">
        <v>2006</v>
      </c>
      <c r="B10" s="155">
        <v>2007</v>
      </c>
      <c r="C10" s="155">
        <v>2008</v>
      </c>
      <c r="D10" s="155">
        <v>2009</v>
      </c>
      <c r="E10" s="155">
        <v>2010</v>
      </c>
      <c r="F10" s="155">
        <v>2011</v>
      </c>
      <c r="G10" s="155">
        <v>2012</v>
      </c>
      <c r="H10" s="155">
        <v>2013</v>
      </c>
      <c r="I10" s="155">
        <v>2014</v>
      </c>
      <c r="J10" s="155">
        <v>2015</v>
      </c>
      <c r="K10" s="155">
        <v>2016</v>
      </c>
      <c r="L10" s="155">
        <v>2017</v>
      </c>
      <c r="M10" s="155">
        <v>2018</v>
      </c>
      <c r="N10" s="155">
        <v>2019</v>
      </c>
      <c r="O10" s="155">
        <v>2020</v>
      </c>
      <c r="P10" s="155">
        <v>2021</v>
      </c>
      <c r="Q10" s="155">
        <v>2022</v>
      </c>
      <c r="R10" s="155">
        <v>2023</v>
      </c>
      <c r="S10" s="155">
        <v>2024</v>
      </c>
      <c r="T10" s="155">
        <v>2025</v>
      </c>
    </row>
    <row r="11" spans="1:21" ht="15" x14ac:dyDescent="0.25">
      <c r="A11" s="154">
        <f>SUM(B11)/(1+0.0297)</f>
        <v>98293.99948730538</v>
      </c>
      <c r="B11" s="154">
        <f>SUM(C11)/(1+0.0435)</f>
        <v>101213.33127207836</v>
      </c>
      <c r="C11" s="154">
        <f>SUM(D11)/(1+0.0366)</f>
        <v>105616.11118241378</v>
      </c>
      <c r="D11" s="154">
        <f>SUM(E11)/(1+0.0334)</f>
        <v>109481.66085169012</v>
      </c>
      <c r="E11" s="154">
        <f>SUM(F11)/(1+0.0324)</f>
        <v>113138.34832413658</v>
      </c>
      <c r="F11" s="154">
        <f>SUM(G11)/(1+0.0461)</f>
        <v>116804.0308098386</v>
      </c>
      <c r="G11" s="154">
        <f>SUM(H11)/(1+0.0532)</f>
        <v>122188.69663017217</v>
      </c>
      <c r="H11" s="154">
        <f>SUM(I11)/(1+0.0463)</f>
        <v>128689.13529089732</v>
      </c>
      <c r="I11" s="154">
        <f>SUM(J11)/(1+0.0444)</f>
        <v>134647.44225486586</v>
      </c>
      <c r="J11" s="154">
        <f>SUM(K11)/(1+0.0363)</f>
        <v>140625.78869098192</v>
      </c>
      <c r="K11" s="154">
        <f>SUM(L11)/(1+0.0531)</f>
        <v>145730.50482046456</v>
      </c>
      <c r="L11" s="154">
        <f>SUM(M11)/(1+0.0731)</f>
        <v>153468.79462643122</v>
      </c>
      <c r="M11" s="154">
        <f>SUM(N11)/(1+0.0672)</f>
        <v>164687.36351362334</v>
      </c>
      <c r="N11" s="154">
        <f>SUM(O11)/(1+0.0563)</f>
        <v>175754.3543417388</v>
      </c>
      <c r="O11" s="154">
        <f>SUM(P11)/(1+0.0571)</f>
        <v>185649.3244911787</v>
      </c>
      <c r="P11" s="154">
        <f>SUM(Q11)/(1+0.0831)</f>
        <v>196249.90091962498</v>
      </c>
      <c r="Q11" s="154">
        <f>SUM(R11)/(1+0.0933)</f>
        <v>212558.26768604582</v>
      </c>
      <c r="R11" s="154">
        <f>SUM(S11)/(1+0.07)</f>
        <v>232389.95406115387</v>
      </c>
      <c r="S11" s="154">
        <f>SUM(T11)/(1+0.0054)</f>
        <v>248657.25084543464</v>
      </c>
      <c r="T11" s="116">
        <f>SUM(T12)</f>
        <v>250000</v>
      </c>
    </row>
    <row r="12" spans="1:21" ht="15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>
        <v>250000</v>
      </c>
    </row>
    <row r="13" spans="1:21" x14ac:dyDescent="0.2">
      <c r="R13" s="154"/>
      <c r="S13" s="154"/>
    </row>
    <row r="14" spans="1:21" x14ac:dyDescent="0.2">
      <c r="R14" s="154"/>
      <c r="S14" s="154"/>
    </row>
    <row r="15" spans="1:21" x14ac:dyDescent="0.2">
      <c r="R15" s="154"/>
      <c r="S15" s="154"/>
    </row>
    <row r="16" spans="1:21" x14ac:dyDescent="0.2">
      <c r="R16" s="154"/>
      <c r="S16" s="154"/>
    </row>
    <row r="17" spans="18:19" x14ac:dyDescent="0.2">
      <c r="R17" s="154"/>
      <c r="S17" s="154"/>
    </row>
    <row r="18" spans="18:19" ht="15" x14ac:dyDescent="0.25">
      <c r="R18" s="159"/>
      <c r="S18" s="154"/>
    </row>
    <row r="19" spans="18:19" x14ac:dyDescent="0.2">
      <c r="R19" s="154"/>
      <c r="S19" s="154"/>
    </row>
    <row r="20" spans="18:19" x14ac:dyDescent="0.2">
      <c r="R20" s="154"/>
      <c r="S20" s="15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Cabinet d'Expertise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HADRI</dc:creator>
  <cp:lastModifiedBy>Utilisateur Windows</cp:lastModifiedBy>
  <cp:lastPrinted>2010-06-19T09:22:07Z</cp:lastPrinted>
  <dcterms:created xsi:type="dcterms:W3CDTF">2006-01-22T10:41:50Z</dcterms:created>
  <dcterms:modified xsi:type="dcterms:W3CDTF">2026-02-20T11:11:11Z</dcterms:modified>
</cp:coreProperties>
</file>