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FE482AE-9C70-4C4D-B6FB-6752C582E44B}" xr6:coauthVersionLast="47" xr6:coauthVersionMax="47" xr10:uidLastSave="{00000000-0000-0000-0000-000000000000}"/>
  <bookViews>
    <workbookView xWindow="-120" yWindow="-120" windowWidth="29040" windowHeight="15720" tabRatio="854" activeTab="9" xr2:uid="{00000000-000D-0000-FFFF-FFFF00000000}"/>
  </bookViews>
  <sheets>
    <sheet name="1-Moyeu" sheetId="6" r:id="rId1"/>
    <sheet name="2-Chappe" sheetId="11" r:id="rId2"/>
    <sheet name="3-Flasque droit" sheetId="12" r:id="rId3"/>
    <sheet name="4-Bras de Manivelle" sheetId="10" r:id="rId4"/>
    <sheet name="5-Entretoise" sheetId="7" r:id="rId5"/>
    <sheet name="6-Entretoise épaulée" sheetId="8" r:id="rId6"/>
    <sheet name="7-Axe manivelle" sheetId="9" r:id="rId7"/>
    <sheet name="9-Treuil" sheetId="14" r:id="rId8"/>
    <sheet name="8-Bande tôle" sheetId="13" r:id="rId9"/>
    <sheet name="charges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5" l="1"/>
  <c r="C33" i="15"/>
  <c r="C32" i="15"/>
  <c r="C31" i="15"/>
  <c r="C30" i="15"/>
  <c r="C29" i="15"/>
  <c r="C28" i="15"/>
  <c r="C27" i="15"/>
  <c r="C26" i="15"/>
  <c r="C25" i="15"/>
  <c r="C24" i="15"/>
  <c r="C23" i="15"/>
  <c r="C22" i="15"/>
  <c r="E12" i="6"/>
  <c r="AB31" i="10"/>
  <c r="AC27" i="10"/>
  <c r="AC28" i="10"/>
  <c r="AC29" i="10"/>
  <c r="AC30" i="10"/>
  <c r="AC31" i="10"/>
  <c r="AC26" i="10"/>
  <c r="AB27" i="10"/>
  <c r="AB28" i="10"/>
  <c r="AB29" i="10"/>
  <c r="AB30" i="10"/>
  <c r="AB26" i="10"/>
  <c r="N15" i="13"/>
  <c r="M15" i="13"/>
  <c r="S40" i="6"/>
  <c r="S41" i="6"/>
  <c r="S42" i="6"/>
  <c r="S43" i="6"/>
  <c r="R40" i="6"/>
  <c r="R41" i="6"/>
  <c r="R42" i="6"/>
  <c r="R43" i="6"/>
  <c r="R44" i="6"/>
  <c r="Q40" i="6"/>
  <c r="Q41" i="6"/>
  <c r="Q42" i="6"/>
  <c r="Q43" i="6"/>
  <c r="R39" i="6"/>
  <c r="Q39" i="6"/>
  <c r="P15" i="6"/>
  <c r="O15" i="6"/>
  <c r="AD30" i="10"/>
  <c r="M8" i="15"/>
  <c r="AA31" i="10"/>
  <c r="L15" i="13"/>
  <c r="K15" i="13"/>
  <c r="J15" i="13"/>
  <c r="B2" i="13"/>
  <c r="AA30" i="10"/>
  <c r="Z30" i="10"/>
  <c r="AA29" i="10"/>
  <c r="AA28" i="10"/>
  <c r="AA27" i="10"/>
  <c r="AA26" i="10"/>
  <c r="E12" i="10"/>
  <c r="Z31" i="10" s="1"/>
  <c r="E11" i="10"/>
  <c r="Y30" i="10" s="1"/>
  <c r="I7" i="10"/>
  <c r="B2" i="10"/>
  <c r="P44" i="6"/>
  <c r="O44" i="6"/>
  <c r="N44" i="6"/>
  <c r="Q44" i="6" s="1"/>
  <c r="S44" i="6" s="1"/>
  <c r="P43" i="6"/>
  <c r="O43" i="6"/>
  <c r="N43" i="6"/>
  <c r="P42" i="6"/>
  <c r="O42" i="6"/>
  <c r="N42" i="6"/>
  <c r="P41" i="6"/>
  <c r="P40" i="6"/>
  <c r="P39" i="6"/>
  <c r="O39" i="6"/>
  <c r="N39" i="6"/>
  <c r="I26" i="6"/>
  <c r="F9" i="6" s="1"/>
  <c r="O41" i="6" s="1"/>
  <c r="H26" i="6"/>
  <c r="E9" i="6" s="1"/>
  <c r="N41" i="6" s="1"/>
  <c r="E26" i="6"/>
  <c r="F8" i="6" s="1"/>
  <c r="D26" i="6"/>
  <c r="E8" i="6" s="1"/>
  <c r="K10" i="6"/>
  <c r="K9" i="6"/>
  <c r="J9" i="6"/>
  <c r="J10" i="6" s="1"/>
  <c r="H43" i="8"/>
  <c r="H43" i="7"/>
  <c r="H42" i="11"/>
  <c r="U11" i="9"/>
  <c r="N13" i="15"/>
  <c r="P13" i="14"/>
  <c r="Q13" i="14"/>
  <c r="R13" i="14" s="1"/>
  <c r="U16" i="9"/>
  <c r="V16" i="9" s="1"/>
  <c r="T16" i="9"/>
  <c r="H7" i="15"/>
  <c r="E7" i="15"/>
  <c r="K7" i="15"/>
  <c r="J7" i="15"/>
  <c r="I7" i="15"/>
  <c r="E60" i="9"/>
  <c r="D60" i="9"/>
  <c r="E51" i="9"/>
  <c r="H48" i="9"/>
  <c r="K36" i="9"/>
  <c r="L36" i="9" s="1"/>
  <c r="L35" i="9"/>
  <c r="K35" i="9"/>
  <c r="K34" i="9"/>
  <c r="L34" i="9" s="1"/>
  <c r="L33" i="9"/>
  <c r="L37" i="9" s="1"/>
  <c r="K33" i="9"/>
  <c r="D31" i="9"/>
  <c r="C31" i="9"/>
  <c r="G24" i="9"/>
  <c r="G25" i="9" s="1"/>
  <c r="G26" i="9" s="1"/>
  <c r="U15" i="9"/>
  <c r="V15" i="9" s="1"/>
  <c r="T15" i="9"/>
  <c r="U14" i="9"/>
  <c r="V14" i="9" s="1"/>
  <c r="T14" i="9"/>
  <c r="U13" i="9"/>
  <c r="V13" i="9" s="1"/>
  <c r="T13" i="9"/>
  <c r="U12" i="9"/>
  <c r="V12" i="9" s="1"/>
  <c r="W12" i="9" s="1"/>
  <c r="C11" i="15" s="1"/>
  <c r="T12" i="9"/>
  <c r="V11" i="9"/>
  <c r="T11" i="9"/>
  <c r="E9" i="9"/>
  <c r="G8" i="9"/>
  <c r="G9" i="9" s="1"/>
  <c r="G10" i="9" s="1"/>
  <c r="G11" i="9" s="1"/>
  <c r="H7" i="9"/>
  <c r="H8" i="9" s="1"/>
  <c r="H9" i="9" s="1"/>
  <c r="H10" i="9" s="1"/>
  <c r="H11" i="9" s="1"/>
  <c r="G7" i="9"/>
  <c r="H53" i="12"/>
  <c r="E11" i="12" s="1"/>
  <c r="S13" i="12" s="1"/>
  <c r="U13" i="12" s="1"/>
  <c r="X13" i="12" s="1"/>
  <c r="H52" i="12"/>
  <c r="D49" i="12"/>
  <c r="D50" i="12" s="1"/>
  <c r="E7" i="12" s="1"/>
  <c r="S9" i="12" s="1"/>
  <c r="U9" i="12" s="1"/>
  <c r="X9" i="12" s="1"/>
  <c r="D47" i="12"/>
  <c r="I44" i="12"/>
  <c r="I28" i="12"/>
  <c r="L27" i="12"/>
  <c r="L25" i="12"/>
  <c r="L26" i="12" s="1"/>
  <c r="V13" i="12"/>
  <c r="W13" i="12" s="1"/>
  <c r="V12" i="12"/>
  <c r="W12" i="12" s="1"/>
  <c r="U12" i="12"/>
  <c r="X12" i="12" s="1"/>
  <c r="S12" i="12"/>
  <c r="V11" i="12"/>
  <c r="W11" i="12" s="1"/>
  <c r="V10" i="12"/>
  <c r="W10" i="12" s="1"/>
  <c r="U10" i="12"/>
  <c r="X10" i="12" s="1"/>
  <c r="E10" i="12"/>
  <c r="V9" i="12"/>
  <c r="W9" i="12" s="1"/>
  <c r="E9" i="12"/>
  <c r="S11" i="12" s="1"/>
  <c r="U11" i="12" s="1"/>
  <c r="X11" i="12" s="1"/>
  <c r="O15" i="13" l="1"/>
  <c r="B12" i="15" s="1"/>
  <c r="H5" i="15"/>
  <c r="D5" i="15"/>
  <c r="AD31" i="10"/>
  <c r="H8" i="15" s="1"/>
  <c r="I14" i="10"/>
  <c r="AD26" i="10"/>
  <c r="Y31" i="10"/>
  <c r="AD28" i="10"/>
  <c r="AD29" i="10"/>
  <c r="AD27" i="10"/>
  <c r="F8" i="15" s="1"/>
  <c r="O40" i="6"/>
  <c r="K13" i="6"/>
  <c r="J13" i="6"/>
  <c r="N40" i="6"/>
  <c r="E5" i="15"/>
  <c r="S39" i="6"/>
  <c r="G5" i="15"/>
  <c r="C5" i="15"/>
  <c r="W13" i="9"/>
  <c r="D11" i="15" s="1"/>
  <c r="W16" i="9"/>
  <c r="H11" i="15" s="1"/>
  <c r="W11" i="9"/>
  <c r="B11" i="15" s="1"/>
  <c r="W14" i="9"/>
  <c r="L11" i="15" s="1"/>
  <c r="W15" i="9"/>
  <c r="G11" i="15" s="1"/>
  <c r="S13" i="14"/>
  <c r="G8" i="15" l="1"/>
  <c r="L8" i="15"/>
  <c r="L15" i="15" s="1"/>
  <c r="L17" i="15" s="1"/>
  <c r="B8" i="15"/>
  <c r="B5" i="15"/>
  <c r="Q23" i="15"/>
  <c r="N15" i="15"/>
  <c r="N17" i="15" s="1"/>
  <c r="K15" i="15"/>
  <c r="K17" i="15" s="1"/>
  <c r="J15" i="15"/>
  <c r="J17" i="15" s="1"/>
  <c r="E15" i="15"/>
  <c r="E17" i="15" s="1"/>
  <c r="E51" i="8"/>
  <c r="D51" i="8"/>
  <c r="E49" i="8"/>
  <c r="D49" i="8"/>
  <c r="E48" i="8"/>
  <c r="D48" i="8"/>
  <c r="F51" i="8"/>
  <c r="H51" i="8" s="1"/>
  <c r="F50" i="8"/>
  <c r="G50" i="8" s="1"/>
  <c r="F49" i="8"/>
  <c r="H49" i="8" s="1"/>
  <c r="F48" i="8"/>
  <c r="G48" i="8" s="1"/>
  <c r="F47" i="8"/>
  <c r="H47" i="8" s="1"/>
  <c r="G47" i="7"/>
  <c r="I47" i="7" s="1"/>
  <c r="B9" i="15" s="1"/>
  <c r="E49" i="7"/>
  <c r="E48" i="7"/>
  <c r="E51" i="7"/>
  <c r="D51" i="7"/>
  <c r="D49" i="7"/>
  <c r="D48" i="7"/>
  <c r="F51" i="7"/>
  <c r="H51" i="7" s="1"/>
  <c r="F50" i="7"/>
  <c r="H50" i="7" s="1"/>
  <c r="F49" i="7"/>
  <c r="G49" i="7" s="1"/>
  <c r="F48" i="7"/>
  <c r="H48" i="7" s="1"/>
  <c r="F47" i="7"/>
  <c r="H47" i="7" s="1"/>
  <c r="G41" i="8"/>
  <c r="G40" i="8"/>
  <c r="G37" i="8"/>
  <c r="G27" i="8"/>
  <c r="H10" i="8"/>
  <c r="H9" i="8"/>
  <c r="G47" i="8" l="1"/>
  <c r="I47" i="8" s="1"/>
  <c r="B10" i="15" s="1"/>
  <c r="B15" i="15" s="1"/>
  <c r="B17" i="15" s="1"/>
  <c r="H50" i="8"/>
  <c r="I50" i="8" s="1"/>
  <c r="G10" i="15" s="1"/>
  <c r="G15" i="15" s="1"/>
  <c r="G17" i="15" s="1"/>
  <c r="G48" i="7"/>
  <c r="I48" i="7" s="1"/>
  <c r="C9" i="15" s="1"/>
  <c r="H49" i="7"/>
  <c r="I49" i="7" s="1"/>
  <c r="D9" i="15" s="1"/>
  <c r="G50" i="7"/>
  <c r="I50" i="7" s="1"/>
  <c r="G9" i="15" s="1"/>
  <c r="G51" i="7"/>
  <c r="I51" i="7" s="1"/>
  <c r="H9" i="15" s="1"/>
  <c r="G51" i="8"/>
  <c r="I51" i="8" s="1"/>
  <c r="H10" i="15" s="1"/>
  <c r="H48" i="8"/>
  <c r="I48" i="8" s="1"/>
  <c r="C10" i="15" s="1"/>
  <c r="G49" i="8"/>
  <c r="I49" i="8" s="1"/>
  <c r="D10" i="15" s="1"/>
  <c r="C15" i="15" l="1"/>
  <c r="C17" i="15" s="1"/>
  <c r="D15" i="15"/>
  <c r="D17" i="15" s="1"/>
  <c r="H37" i="7"/>
  <c r="H27" i="7"/>
  <c r="H10" i="7"/>
  <c r="H9" i="7"/>
  <c r="C5" i="8"/>
  <c r="B5" i="8"/>
  <c r="C4" i="8"/>
  <c r="B4" i="8"/>
  <c r="C3" i="8"/>
  <c r="B3" i="8"/>
  <c r="E48" i="11"/>
  <c r="D48" i="11"/>
  <c r="H49" i="11"/>
  <c r="F48" i="11"/>
  <c r="C23" i="8"/>
  <c r="C24" i="8" s="1"/>
  <c r="A23" i="8"/>
  <c r="A24" i="8" s="1"/>
  <c r="D46" i="11"/>
  <c r="C23" i="7"/>
  <c r="C24" i="7" s="1"/>
  <c r="H41" i="7" s="1"/>
  <c r="A23" i="7"/>
  <c r="A24" i="7" s="1"/>
  <c r="H40" i="7" s="1"/>
  <c r="C23" i="11"/>
  <c r="C24" i="11" s="1"/>
  <c r="A23" i="11"/>
  <c r="A24" i="11" s="1"/>
  <c r="A20" i="11"/>
  <c r="A21" i="11" s="1"/>
  <c r="F49" i="11"/>
  <c r="G49" i="11" s="1"/>
  <c r="I49" i="11" s="1"/>
  <c r="H6" i="15" s="1"/>
  <c r="H15" i="15" s="1"/>
  <c r="H17" i="15" s="1"/>
  <c r="F47" i="11"/>
  <c r="F46" i="11"/>
  <c r="L36" i="11"/>
  <c r="M24" i="11"/>
  <c r="M25" i="11" s="1"/>
  <c r="E46" i="11" s="1"/>
  <c r="L24" i="11"/>
  <c r="L25" i="11" s="1"/>
  <c r="L9" i="11"/>
  <c r="H11" i="11"/>
  <c r="H10" i="11"/>
  <c r="C20" i="8"/>
  <c r="C21" i="8" s="1"/>
  <c r="A20" i="8"/>
  <c r="A21" i="8" s="1"/>
  <c r="C20" i="7"/>
  <c r="C21" i="7" s="1"/>
  <c r="C3" i="7" s="1"/>
  <c r="A20" i="7"/>
  <c r="C20" i="11"/>
  <c r="C21" i="11" s="1"/>
  <c r="C3" i="11" s="1"/>
  <c r="G48" i="11" l="1"/>
  <c r="G46" i="11"/>
  <c r="H47" i="11"/>
  <c r="H46" i="11"/>
  <c r="B5" i="11"/>
  <c r="L39" i="11"/>
  <c r="D49" i="11" s="1"/>
  <c r="B4" i="11"/>
  <c r="C5" i="11"/>
  <c r="C4" i="11"/>
  <c r="L40" i="11"/>
  <c r="E49" i="11" s="1"/>
  <c r="B3" i="11"/>
  <c r="G47" i="11"/>
  <c r="I47" i="11" s="1"/>
  <c r="F6" i="15" s="1"/>
  <c r="F15" i="15" s="1"/>
  <c r="F17" i="15" s="1"/>
  <c r="H48" i="11"/>
  <c r="A21" i="7"/>
  <c r="B3" i="7" s="1"/>
  <c r="B4" i="7"/>
  <c r="B5" i="7"/>
  <c r="C5" i="7"/>
  <c r="C4" i="7"/>
  <c r="I48" i="11" l="1"/>
  <c r="M6" i="15" s="1"/>
  <c r="M15" i="15" s="1"/>
  <c r="M17" i="15" s="1"/>
  <c r="I46" i="11"/>
  <c r="I6" i="15" s="1"/>
  <c r="I15" i="15" s="1"/>
  <c r="I17" i="15" s="1"/>
</calcChain>
</file>

<file path=xl/sharedStrings.xml><?xml version="1.0" encoding="utf-8"?>
<sst xmlns="http://schemas.openxmlformats.org/spreadsheetml/2006/main" count="1184" uniqueCount="426">
  <si>
    <t>ASS</t>
  </si>
  <si>
    <t>BRAS</t>
  </si>
  <si>
    <t>CISAG</t>
  </si>
  <si>
    <t>CISAM</t>
  </si>
  <si>
    <t>FR1</t>
  </si>
  <si>
    <t>FR2</t>
  </si>
  <si>
    <t>PERC1</t>
  </si>
  <si>
    <t>PERC2</t>
  </si>
  <si>
    <t>SCIE</t>
  </si>
  <si>
    <t>TOUR1</t>
  </si>
  <si>
    <t>TOUR2</t>
  </si>
  <si>
    <t>TRIBO</t>
  </si>
  <si>
    <t>Code Impact</t>
  </si>
  <si>
    <t>FLASD</t>
  </si>
  <si>
    <t>MP</t>
  </si>
  <si>
    <t>COMP</t>
  </si>
  <si>
    <t>Lot de production :</t>
  </si>
  <si>
    <t>Poste</t>
  </si>
  <si>
    <t>Temps de changement de série (en ch)</t>
  </si>
  <si>
    <t>Ph 10</t>
  </si>
  <si>
    <t>Ph 20</t>
  </si>
  <si>
    <t>Ph 30</t>
  </si>
  <si>
    <t>Ph 40</t>
  </si>
  <si>
    <t>Ph 50</t>
  </si>
  <si>
    <t>Ph 60</t>
  </si>
  <si>
    <t>Ph 70</t>
  </si>
  <si>
    <t>Ph 80</t>
  </si>
  <si>
    <t>PF</t>
  </si>
  <si>
    <t>EN-E
EN-L</t>
  </si>
  <si>
    <t>ENE-E
ENE-L</t>
  </si>
  <si>
    <t>AX-E
AX-L</t>
  </si>
  <si>
    <t>BRA</t>
  </si>
  <si>
    <t>CHA-E
CHA-L</t>
  </si>
  <si>
    <t>TR-E
TR-L</t>
  </si>
  <si>
    <t>/</t>
  </si>
  <si>
    <t>DEBIT</t>
  </si>
  <si>
    <t>BD130</t>
  </si>
  <si>
    <t>Opérations</t>
  </si>
  <si>
    <t>Lot de transfert :</t>
  </si>
  <si>
    <t>Quantité par semaine :</t>
  </si>
  <si>
    <t>Produit :  Axe manivelle</t>
  </si>
  <si>
    <t>Produit :  Bras de manivelle</t>
  </si>
  <si>
    <t>Produit :  Flasque droit</t>
  </si>
  <si>
    <t>Produit Semi Ouvré :  Bande de Tôle</t>
  </si>
  <si>
    <r>
      <rPr>
        <b/>
        <u/>
        <sz val="11"/>
        <color theme="1"/>
        <rFont val="Calibri"/>
        <family val="2"/>
        <scheme val="minor"/>
      </rPr>
      <t>Ebavurage par tribofinition</t>
    </r>
    <r>
      <rPr>
        <sz val="11"/>
        <color theme="1"/>
        <rFont val="Calibri"/>
        <family val="2"/>
        <scheme val="minor"/>
      </rPr>
      <t xml:space="preserve">
Traitement par lot
Temps de séjour 2h quelque soit le lot</t>
    </r>
  </si>
  <si>
    <r>
      <rPr>
        <b/>
        <u/>
        <sz val="11"/>
        <color theme="1"/>
        <rFont val="Calibri"/>
        <family val="2"/>
        <scheme val="minor"/>
      </rPr>
      <t>Pointage, Fraisage</t>
    </r>
    <r>
      <rPr>
        <sz val="11"/>
        <color theme="1"/>
        <rFont val="Calibri"/>
        <family val="2"/>
        <scheme val="minor"/>
      </rPr>
      <t xml:space="preserve">
Pointage de tous les trous (Forêt à pointer)
Perçage du trou avant contournage (forêt ø12)
Contournage ø22 (Fraise 2 tailles ø12)</t>
    </r>
  </si>
  <si>
    <r>
      <rPr>
        <b/>
        <u/>
        <sz val="11"/>
        <color theme="1"/>
        <rFont val="Calibri"/>
        <family val="2"/>
        <scheme val="minor"/>
      </rPr>
      <t>Cisaillage</t>
    </r>
    <r>
      <rPr>
        <sz val="11"/>
        <color theme="1"/>
        <rFont val="Calibri"/>
        <family val="2"/>
        <scheme val="minor"/>
      </rPr>
      <t xml:space="preserve">
Coupe des 2 chanfreins (à l'œil)</t>
    </r>
  </si>
  <si>
    <r>
      <rPr>
        <b/>
        <u/>
        <sz val="11"/>
        <color theme="1"/>
        <rFont val="Calibri"/>
        <family val="2"/>
        <scheme val="minor"/>
      </rPr>
      <t>Perçage avec Masque de perçage</t>
    </r>
    <r>
      <rPr>
        <sz val="11"/>
        <color theme="1"/>
        <rFont val="Calibri"/>
        <family val="2"/>
        <scheme val="minor"/>
      </rPr>
      <t xml:space="preserve">
Perçage du trou ø6,75 et préperçage  rainure ø10</t>
    </r>
  </si>
  <si>
    <r>
      <rPr>
        <b/>
        <u/>
        <sz val="11"/>
        <color theme="1"/>
        <rFont val="Calibri"/>
        <family val="2"/>
        <scheme val="minor"/>
      </rPr>
      <t>Débit</t>
    </r>
    <r>
      <rPr>
        <sz val="11"/>
        <color theme="1"/>
        <rFont val="Calibri"/>
        <family val="2"/>
        <scheme val="minor"/>
      </rPr>
      <t xml:space="preserve">
Coupe à longueur de toute la barre</t>
    </r>
  </si>
  <si>
    <r>
      <rPr>
        <b/>
        <u/>
        <sz val="11"/>
        <color theme="1"/>
        <rFont val="Calibri"/>
        <family val="2"/>
        <scheme val="minor"/>
      </rPr>
      <t>Pliage</t>
    </r>
    <r>
      <rPr>
        <sz val="11"/>
        <color theme="1"/>
        <rFont val="Calibri"/>
        <family val="2"/>
        <scheme val="minor"/>
      </rPr>
      <t xml:space="preserve">
Réalisation des 2 plis à 135°</t>
    </r>
  </si>
  <si>
    <t>Temps unitaire
(en ch)</t>
  </si>
  <si>
    <t>Produit :  Moyeu Etroit ou Large</t>
  </si>
  <si>
    <t>Produit :  Chappe pliée Etroite ou Large</t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</si>
  <si>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1 barre d'Acier Laminé ø40 (L = 6m)</t>
    </r>
  </si>
  <si>
    <r>
      <rPr>
        <b/>
        <u/>
        <sz val="11"/>
        <color theme="1"/>
        <rFont val="Calibri"/>
        <family val="2"/>
        <scheme val="minor"/>
      </rPr>
      <t>Mise en stock</t>
    </r>
    <r>
      <rPr>
        <sz val="11"/>
        <color theme="1"/>
        <rFont val="Calibri"/>
        <family val="2"/>
        <scheme val="minor"/>
      </rPr>
      <t xml:space="preserve">
de composants</t>
    </r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</si>
  <si>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1 Bande tôle Acier épaisseur 2 (1m x 0,13m)</t>
    </r>
  </si>
  <si>
    <r>
      <rPr>
        <b/>
        <u/>
        <sz val="11"/>
        <color theme="1"/>
        <rFont val="Calibri"/>
        <family val="2"/>
        <scheme val="minor"/>
      </rPr>
      <t>Taraudage</t>
    </r>
    <r>
      <rPr>
        <sz val="11"/>
        <color theme="1"/>
        <rFont val="Calibri"/>
        <family val="2"/>
        <scheme val="minor"/>
      </rPr>
      <t xml:space="preserve">
des 6 trous M4</t>
    </r>
  </si>
  <si>
    <r>
      <rPr>
        <b/>
        <u/>
        <sz val="11"/>
        <color theme="1"/>
        <rFont val="Calibri"/>
        <family val="2"/>
        <scheme val="minor"/>
      </rPr>
      <t>Taraudage</t>
    </r>
    <r>
      <rPr>
        <sz val="11"/>
        <color theme="1"/>
        <rFont val="Calibri"/>
        <family val="2"/>
        <scheme val="minor"/>
      </rPr>
      <t xml:space="preserve">
du trou M8</t>
    </r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</si>
  <si>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1 barre Acier Laminé 25x6 (L = 6m)</t>
    </r>
  </si>
  <si>
    <r>
      <rPr>
        <b/>
        <u/>
        <sz val="11"/>
        <color theme="1"/>
        <rFont val="Calibri"/>
        <family val="2"/>
        <scheme val="minor"/>
      </rPr>
      <t>Tournage 1er côté (3 mors durs)</t>
    </r>
    <r>
      <rPr>
        <sz val="11"/>
        <color theme="1"/>
        <rFont val="Calibri"/>
        <family val="2"/>
        <scheme val="minor"/>
      </rPr>
      <t xml:space="preserve">
1-Pointage fôrêt à pointer
2-Perçage ø6,75
3-Dressage Chanfreinnage Chariotage (Outil à 80°)</t>
    </r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</si>
  <si>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1 barre Acier Etiré ø18 (L = 6m)</t>
    </r>
  </si>
  <si>
    <r>
      <t xml:space="preserve">Fraisage
</t>
    </r>
    <r>
      <rPr>
        <sz val="11"/>
        <color theme="1"/>
        <rFont val="Calibri"/>
        <family val="2"/>
        <scheme val="minor"/>
      </rPr>
      <t>du méplat</t>
    </r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</si>
  <si>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1 tôle épaisseur 2 (1m x 2m)</t>
    </r>
  </si>
  <si>
    <r>
      <rPr>
        <b/>
        <u/>
        <sz val="11"/>
        <color theme="1"/>
        <rFont val="Calibri"/>
        <family val="2"/>
        <scheme val="minor"/>
      </rPr>
      <t>Mise en stock</t>
    </r>
    <r>
      <rPr>
        <sz val="11"/>
        <color theme="1"/>
        <rFont val="Calibri"/>
        <family val="2"/>
        <scheme val="minor"/>
      </rPr>
      <t xml:space="preserve">
Produits débités</t>
    </r>
  </si>
  <si>
    <r>
      <rPr>
        <b/>
        <u/>
        <sz val="11"/>
        <color theme="1"/>
        <rFont val="Calibri"/>
        <family val="2"/>
        <scheme val="minor"/>
      </rPr>
      <t>Sortie du stock</t>
    </r>
    <r>
      <rPr>
        <sz val="11"/>
        <color theme="1"/>
        <rFont val="Calibri"/>
        <family val="2"/>
        <scheme val="minor"/>
      </rPr>
      <t xml:space="preserve">
de tous les composants nécessaires</t>
    </r>
  </si>
  <si>
    <r>
      <rPr>
        <b/>
        <u/>
        <sz val="11"/>
        <color theme="1"/>
        <rFont val="Calibri"/>
        <family val="2"/>
        <scheme val="minor"/>
      </rPr>
      <t>Assemblage - Soudage</t>
    </r>
    <r>
      <rPr>
        <sz val="11"/>
        <color theme="1"/>
        <rFont val="Calibri"/>
        <family val="2"/>
        <scheme val="minor"/>
      </rPr>
      <t xml:space="preserve">
du treuil</t>
    </r>
  </si>
  <si>
    <r>
      <rPr>
        <b/>
        <u/>
        <sz val="11"/>
        <color theme="1"/>
        <rFont val="Calibri"/>
        <family val="2"/>
        <scheme val="minor"/>
      </rPr>
      <t>Mise en stock</t>
    </r>
    <r>
      <rPr>
        <sz val="11"/>
        <color theme="1"/>
        <rFont val="Calibri"/>
        <family val="2"/>
        <scheme val="minor"/>
      </rPr>
      <t xml:space="preserve">
Produits Finis</t>
    </r>
  </si>
  <si>
    <t>Produit :  Entretoise Etroite ou Large</t>
  </si>
  <si>
    <r>
      <rPr>
        <b/>
        <u/>
        <sz val="11"/>
        <color theme="1"/>
        <rFont val="Calibri"/>
        <family val="2"/>
        <scheme val="minor"/>
      </rPr>
      <t>Perçage (Montage flottant)</t>
    </r>
    <r>
      <rPr>
        <sz val="11"/>
        <color theme="1"/>
        <rFont val="Calibri"/>
        <family val="2"/>
        <scheme val="minor"/>
      </rPr>
      <t xml:space="preserve">
Perçage des 2 trous ø4,5
Perçage des 2 trous ø8,5</t>
    </r>
  </si>
  <si>
    <r>
      <rPr>
        <b/>
        <u/>
        <sz val="11"/>
        <color theme="1"/>
        <rFont val="Calibri"/>
        <family val="2"/>
        <scheme val="minor"/>
      </rPr>
      <t>Fraisage</t>
    </r>
    <r>
      <rPr>
        <sz val="11"/>
        <color theme="1"/>
        <rFont val="Calibri"/>
        <family val="2"/>
        <scheme val="minor"/>
      </rPr>
      <t xml:space="preserve">
Fraisage de la rainure (Fraise 2 tailles ø12)</t>
    </r>
  </si>
  <si>
    <r>
      <rPr>
        <b/>
        <u/>
        <sz val="11"/>
        <color theme="1"/>
        <rFont val="Calibri"/>
        <family val="2"/>
        <scheme val="minor"/>
      </rPr>
      <t>Cisaillage</t>
    </r>
    <r>
      <rPr>
        <sz val="11"/>
        <color theme="1"/>
        <rFont val="Calibri"/>
        <family val="2"/>
        <scheme val="minor"/>
      </rPr>
      <t xml:space="preserve">
Coupe à longueur de bandes (0,13m x 1m) - toute la tôle</t>
    </r>
  </si>
  <si>
    <t>PLIEU</t>
  </si>
  <si>
    <r>
      <rPr>
        <b/>
        <u/>
        <sz val="11"/>
        <color theme="1"/>
        <rFont val="Calibri"/>
        <family val="2"/>
        <scheme val="minor"/>
      </rPr>
      <t>Cisaillage</t>
    </r>
    <r>
      <rPr>
        <sz val="11"/>
        <color theme="1"/>
        <rFont val="Calibri"/>
        <family val="2"/>
        <scheme val="minor"/>
      </rPr>
      <t xml:space="preserve">
Coupe à longueur de toute la bande </t>
    </r>
    <r>
      <rPr>
        <b/>
        <u/>
        <sz val="11"/>
        <color rgb="FFFF0000"/>
        <rFont val="Calibri"/>
        <family val="2"/>
        <scheme val="minor"/>
      </rPr>
      <t>(80mm x 130mm)</t>
    </r>
  </si>
  <si>
    <r>
      <rPr>
        <b/>
        <u/>
        <sz val="11"/>
        <color theme="1"/>
        <rFont val="Calibri"/>
        <family val="2"/>
        <scheme val="minor"/>
      </rPr>
      <t>Débit</t>
    </r>
    <r>
      <rPr>
        <sz val="11"/>
        <color theme="1"/>
        <rFont val="Calibri"/>
        <family val="2"/>
        <scheme val="minor"/>
      </rPr>
      <t xml:space="preserve">
Coupe à longueur de toute la barre </t>
    </r>
    <r>
      <rPr>
        <b/>
        <u/>
        <sz val="11"/>
        <color rgb="FFFF0000"/>
        <rFont val="Calibri"/>
        <family val="2"/>
        <scheme val="minor"/>
      </rPr>
      <t>(25mm x 6mm x 210mm)</t>
    </r>
  </si>
  <si>
    <r>
      <rPr>
        <b/>
        <u/>
        <sz val="11"/>
        <color theme="1"/>
        <rFont val="Calibri"/>
        <family val="2"/>
        <scheme val="minor"/>
      </rPr>
      <t>Tournage 1er côté (3 mors durs)</t>
    </r>
    <r>
      <rPr>
        <sz val="11"/>
        <color theme="1"/>
        <rFont val="Calibri"/>
        <family val="2"/>
        <scheme val="minor"/>
      </rPr>
      <t xml:space="preserve">
1-Pointage fôrêt à pointer
2-Perçage ø14,5 sur la moitié de la longueur
3-Dressage et Chariotage épaulement (Outil à 80°)</t>
    </r>
  </si>
  <si>
    <r>
      <rPr>
        <b/>
        <u/>
        <sz val="11"/>
        <color theme="1"/>
        <rFont val="Calibri"/>
        <family val="2"/>
        <scheme val="minor"/>
      </rPr>
      <t>Perçage avec Masque de perçage</t>
    </r>
    <r>
      <rPr>
        <sz val="11"/>
        <color theme="1"/>
        <rFont val="Calibri"/>
        <family val="2"/>
        <scheme val="minor"/>
      </rPr>
      <t xml:space="preserve">
1-Perçage des 3 trous ø3,3
2-Retournement pièce
3-Perçage des 3 autres trous ø3,3
4-Retournement pièce
5-Perçage du Trou ø4 </t>
    </r>
  </si>
  <si>
    <t>Les valeurs manquantes sont à déterminer par l'étudiant 2</t>
  </si>
  <si>
    <t>Les valeurs manquantes sont à déterminer par l'étudiant 3</t>
  </si>
  <si>
    <t>Produit :  TREUIL Etroit</t>
  </si>
  <si>
    <t>Produit :  TREUIL Large</t>
  </si>
  <si>
    <t>CHA-E : 2,93
CHA-L : 2,93</t>
  </si>
  <si>
    <t>Treuils étroits</t>
  </si>
  <si>
    <t>Treuils larges</t>
  </si>
  <si>
    <t>Chappes/tôle</t>
  </si>
  <si>
    <t xml:space="preserve">Chappes étroites </t>
  </si>
  <si>
    <t>Chappes larges</t>
  </si>
  <si>
    <t>Entretoise/barre</t>
  </si>
  <si>
    <t>Barre(s) nécéssaire(s)</t>
  </si>
  <si>
    <t>Tôle(s) nécessaire(s)</t>
  </si>
  <si>
    <t>Entretoises étroites</t>
  </si>
  <si>
    <t>Entretoises larges</t>
  </si>
  <si>
    <t>Calcul de la taille des lots (par semaine)</t>
  </si>
  <si>
    <t>Calcul des dimensions de la Chappe</t>
  </si>
  <si>
    <t>Nombre de plis</t>
  </si>
  <si>
    <t>Longueur entretoise large</t>
  </si>
  <si>
    <t>Longueur entretoise étroite</t>
  </si>
  <si>
    <t xml:space="preserve">Perte au pli </t>
  </si>
  <si>
    <t>Cote extérieure</t>
  </si>
  <si>
    <t>LD (Chappe étroite)</t>
  </si>
  <si>
    <t>LD (Chappe large)</t>
  </si>
  <si>
    <t>mm</t>
  </si>
  <si>
    <t>Cisaillage</t>
  </si>
  <si>
    <t>épaisseur</t>
  </si>
  <si>
    <t>Longueur</t>
  </si>
  <si>
    <t>Largeur</t>
  </si>
  <si>
    <t>Masse volumique de l'acier</t>
  </si>
  <si>
    <t>Calcul de la masse de la tôle</t>
  </si>
  <si>
    <t>Masse de la tôle</t>
  </si>
  <si>
    <t>m</t>
  </si>
  <si>
    <t>kg/m3</t>
  </si>
  <si>
    <t>kg</t>
  </si>
  <si>
    <t>1. Alimenter machine</t>
  </si>
  <si>
    <t>2. Mettre en butée</t>
  </si>
  <si>
    <t>3. Découper première bande (Tps machine)</t>
  </si>
  <si>
    <t>4. Evacuer</t>
  </si>
  <si>
    <t>5. Stocker</t>
  </si>
  <si>
    <t>Pliage</t>
  </si>
  <si>
    <t>3. Temps machine</t>
  </si>
  <si>
    <t xml:space="preserve">4. Dégager la pièce </t>
  </si>
  <si>
    <t>5. Mettre en butée</t>
  </si>
  <si>
    <t>6. Temps machine</t>
  </si>
  <si>
    <t>7. Dégager la pièce</t>
  </si>
  <si>
    <t xml:space="preserve">8. Evacuer </t>
  </si>
  <si>
    <t>9. Stocker</t>
  </si>
  <si>
    <t>Ebavurage</t>
  </si>
  <si>
    <t>Total étroit/large</t>
  </si>
  <si>
    <t>Total étroit et large</t>
  </si>
  <si>
    <t>Calcul des Temps Unitaires (en ch)</t>
  </si>
  <si>
    <t>Temps Unitaire étroit/large</t>
  </si>
  <si>
    <t>2h/nombre de pièces dans un lot</t>
  </si>
  <si>
    <t>Chappe étroite</t>
  </si>
  <si>
    <t>Chappe large</t>
  </si>
  <si>
    <t>Calcul des taux de charge</t>
  </si>
  <si>
    <t>CHA-E : 0,5925
CHA-L : 0,6067</t>
  </si>
  <si>
    <t>Temps unitaire L
(en ch)</t>
  </si>
  <si>
    <t>Temps unitaire E
(en ch)</t>
  </si>
  <si>
    <t>Nombre de changement de série</t>
  </si>
  <si>
    <t>Chappe Large</t>
  </si>
  <si>
    <t>Chappes/Lot de treuils étroits</t>
  </si>
  <si>
    <t>Chappes/Lot de treuils larges</t>
  </si>
  <si>
    <t>Chappes/Lot de chappe étroits</t>
  </si>
  <si>
    <r>
      <rPr>
        <b/>
        <u/>
        <sz val="14"/>
        <color theme="1"/>
        <rFont val="Calibri"/>
        <family val="2"/>
        <scheme val="minor"/>
      </rPr>
      <t>Sortie du stock</t>
    </r>
    <r>
      <rPr>
        <sz val="14"/>
        <color theme="1"/>
        <rFont val="Calibri"/>
        <family val="2"/>
        <scheme val="minor"/>
      </rPr>
      <t xml:space="preserve">
1 Bande tôle Acier épaisseur 2 (1m x 0,13m)</t>
    </r>
  </si>
  <si>
    <r>
      <rPr>
        <b/>
        <u/>
        <sz val="14"/>
        <color theme="1"/>
        <rFont val="Calibri"/>
        <family val="2"/>
        <scheme val="minor"/>
      </rPr>
      <t>Cisaillage</t>
    </r>
    <r>
      <rPr>
        <sz val="14"/>
        <color theme="1"/>
        <rFont val="Calibri"/>
        <family val="2"/>
        <scheme val="minor"/>
      </rPr>
      <t xml:space="preserve">
Coupe à longueur de toute la bande </t>
    </r>
    <r>
      <rPr>
        <b/>
        <u/>
        <sz val="14"/>
        <color rgb="FFFF0000"/>
        <rFont val="Calibri"/>
        <family val="2"/>
        <scheme val="minor"/>
      </rPr>
      <t xml:space="preserve">(130mm x 119mm étroit) (130mm x 143mm large) </t>
    </r>
  </si>
  <si>
    <r>
      <rPr>
        <b/>
        <u/>
        <sz val="14"/>
        <color theme="1"/>
        <rFont val="Calibri"/>
        <family val="2"/>
        <scheme val="minor"/>
      </rPr>
      <t>Perçage avec Masque de perçage</t>
    </r>
    <r>
      <rPr>
        <sz val="14"/>
        <color theme="1"/>
        <rFont val="Calibri"/>
        <family val="2"/>
        <scheme val="minor"/>
      </rPr>
      <t xml:space="preserve">
Perçage des 4 trous ø7</t>
    </r>
  </si>
  <si>
    <r>
      <rPr>
        <b/>
        <u/>
        <sz val="14"/>
        <color theme="1"/>
        <rFont val="Calibri"/>
        <family val="2"/>
        <scheme val="minor"/>
      </rPr>
      <t>Pliage</t>
    </r>
    <r>
      <rPr>
        <sz val="14"/>
        <color theme="1"/>
        <rFont val="Calibri"/>
        <family val="2"/>
        <scheme val="minor"/>
      </rPr>
      <t xml:space="preserve">
Réalisation des 2 plis à 90°</t>
    </r>
  </si>
  <si>
    <r>
      <rPr>
        <b/>
        <u/>
        <sz val="14"/>
        <color theme="1"/>
        <rFont val="Calibri"/>
        <family val="2"/>
        <scheme val="minor"/>
      </rPr>
      <t>Ebavurage par tribofinition</t>
    </r>
    <r>
      <rPr>
        <sz val="14"/>
        <color theme="1"/>
        <rFont val="Calibri"/>
        <family val="2"/>
        <scheme val="minor"/>
      </rPr>
      <t xml:space="preserve">
Traitement par lot
Temps de séjour 2h quelque soit le lot</t>
    </r>
  </si>
  <si>
    <r>
      <rPr>
        <b/>
        <u/>
        <sz val="14"/>
        <color theme="1"/>
        <rFont val="Calibri"/>
        <family val="2"/>
        <scheme val="minor"/>
      </rPr>
      <t>Mise en stock</t>
    </r>
    <r>
      <rPr>
        <sz val="14"/>
        <color theme="1"/>
        <rFont val="Calibri"/>
        <family val="2"/>
        <scheme val="minor"/>
      </rPr>
      <t xml:space="preserve">
de composants</t>
    </r>
  </si>
  <si>
    <t>Entretoises/Lot de treuils étroits</t>
  </si>
  <si>
    <t>Entretoises/Lot de treuils larges</t>
  </si>
  <si>
    <t>Barre(s) nécessaire(s)</t>
  </si>
  <si>
    <t>Entretoises/Lot d'entretoises étroites</t>
  </si>
  <si>
    <t>Entretoise étroite</t>
  </si>
  <si>
    <t>Entretoise Large</t>
  </si>
  <si>
    <t>CHA-E : 5
CHA-L : 2,7778</t>
  </si>
  <si>
    <t>Temps de changement de série * 2 (en ch)</t>
  </si>
  <si>
    <t>Charge de la Chappe-E</t>
  </si>
  <si>
    <t>Charge de la Chappe-L</t>
  </si>
  <si>
    <t>Calcul des dimensions de l'entretoise</t>
  </si>
  <si>
    <t>L1 Utile</t>
  </si>
  <si>
    <t>L2 Utile</t>
  </si>
  <si>
    <t>Surépaisseur</t>
  </si>
  <si>
    <t>Epaisseur lame de scie</t>
  </si>
  <si>
    <t>Longeur EN-E</t>
  </si>
  <si>
    <t>Longeur EN-L</t>
  </si>
  <si>
    <r>
      <rPr>
        <b/>
        <u/>
        <sz val="12"/>
        <color theme="1"/>
        <rFont val="Calibri"/>
        <family val="2"/>
        <scheme val="minor"/>
      </rPr>
      <t>Sortie du stock</t>
    </r>
    <r>
      <rPr>
        <sz val="12"/>
        <color theme="1"/>
        <rFont val="Calibri"/>
        <family val="2"/>
        <scheme val="minor"/>
      </rPr>
      <t xml:space="preserve">
1 barre Acier Etiré ø14 (L = 6m)</t>
    </r>
  </si>
  <si>
    <r>
      <rPr>
        <b/>
        <u/>
        <sz val="12"/>
        <color theme="1"/>
        <rFont val="Calibri"/>
        <family val="2"/>
        <scheme val="minor"/>
      </rPr>
      <t>Débit</t>
    </r>
    <r>
      <rPr>
        <sz val="12"/>
        <color theme="1"/>
        <rFont val="Calibri"/>
        <family val="2"/>
        <scheme val="minor"/>
      </rPr>
      <t xml:space="preserve">
Coupe à longueur de toute la barre</t>
    </r>
  </si>
  <si>
    <r>
      <rPr>
        <b/>
        <u/>
        <sz val="12"/>
        <color theme="1"/>
        <rFont val="Calibri"/>
        <family val="2"/>
        <scheme val="minor"/>
      </rPr>
      <t>Tournage 1er côté (3 mors durs)</t>
    </r>
    <r>
      <rPr>
        <sz val="12"/>
        <color theme="1"/>
        <rFont val="Calibri"/>
        <family val="2"/>
        <scheme val="minor"/>
      </rPr>
      <t xml:space="preserve">
1-Pointage fôrêt à pointer
2-Perçage ø6,75
3-Dressage Chanfreinnage (Outil à 80°)</t>
    </r>
  </si>
  <si>
    <r>
      <rPr>
        <b/>
        <u/>
        <sz val="12"/>
        <color theme="1"/>
        <rFont val="Calibri"/>
        <family val="2"/>
        <scheme val="minor"/>
      </rPr>
      <t>Tournage 2ème Côté (3 mors durs)</t>
    </r>
    <r>
      <rPr>
        <sz val="12"/>
        <color theme="1"/>
        <rFont val="Calibri"/>
        <family val="2"/>
        <scheme val="minor"/>
      </rPr>
      <t xml:space="preserve">
1-Pointage fôrêt à pointer
2-Perçage ø6,75
3-Dressage Chanfreinnage (Outil à 80°) </t>
    </r>
    <r>
      <rPr>
        <b/>
        <u/>
        <sz val="12"/>
        <color rgb="FFFF0000"/>
        <rFont val="Calibri"/>
        <family val="2"/>
        <scheme val="minor"/>
      </rPr>
      <t>(Longueur utile + 23mm)</t>
    </r>
  </si>
  <si>
    <r>
      <rPr>
        <b/>
        <u/>
        <sz val="12"/>
        <color theme="1"/>
        <rFont val="Calibri"/>
        <family val="2"/>
        <scheme val="minor"/>
      </rPr>
      <t>Taraudage</t>
    </r>
    <r>
      <rPr>
        <sz val="12"/>
        <color theme="1"/>
        <rFont val="Calibri"/>
        <family val="2"/>
        <scheme val="minor"/>
      </rPr>
      <t xml:space="preserve">
des 2 trous M8</t>
    </r>
  </si>
  <si>
    <r>
      <rPr>
        <b/>
        <u/>
        <sz val="12"/>
        <color theme="1"/>
        <rFont val="Calibri"/>
        <family val="2"/>
        <scheme val="minor"/>
      </rPr>
      <t>Ebavurage par tribofinition</t>
    </r>
    <r>
      <rPr>
        <sz val="12"/>
        <color theme="1"/>
        <rFont val="Calibri"/>
        <family val="2"/>
        <scheme val="minor"/>
      </rPr>
      <t xml:space="preserve">
Traitement par lot
Temps de séjour 2h quelque soit le lot</t>
    </r>
  </si>
  <si>
    <r>
      <rPr>
        <b/>
        <u/>
        <sz val="12"/>
        <color theme="1"/>
        <rFont val="Calibri"/>
        <family val="2"/>
        <scheme val="minor"/>
      </rPr>
      <t>Mise en stock</t>
    </r>
    <r>
      <rPr>
        <sz val="12"/>
        <color theme="1"/>
        <rFont val="Calibri"/>
        <family val="2"/>
        <scheme val="minor"/>
      </rPr>
      <t xml:space="preserve">
de composants</t>
    </r>
  </si>
  <si>
    <t>Tournage 1er côté (3 mors durs)</t>
  </si>
  <si>
    <t>1. Montage Pièce</t>
  </si>
  <si>
    <t>2. Montage foret à pointer + fréquence broche</t>
  </si>
  <si>
    <t>Tournage 2eme côté (3 mors durs)</t>
  </si>
  <si>
    <t>3. Pointage</t>
  </si>
  <si>
    <t>4. Montage foret + fréquence broche</t>
  </si>
  <si>
    <t>5. Perçage</t>
  </si>
  <si>
    <t>6. Sélection de l'outil à 80°</t>
  </si>
  <si>
    <t>8. Démontage pièce</t>
  </si>
  <si>
    <t>Entretoises/Lot d'entretoises larges</t>
  </si>
  <si>
    <t>Charge Totale</t>
  </si>
  <si>
    <t>Total:</t>
  </si>
  <si>
    <t>EN-E : 9
EN-L : 9</t>
  </si>
  <si>
    <t>7. Réalisation cycle de dressage/chanfreinage</t>
  </si>
  <si>
    <t>7. Réalisation cycle de d'ébauche paraxiale</t>
  </si>
  <si>
    <t>ENE-E : 11
ENE-L : 11</t>
  </si>
  <si>
    <t>ENE-E : 9
ENE-L : 9</t>
  </si>
  <si>
    <r>
      <rPr>
        <b/>
        <u/>
        <sz val="12"/>
        <color theme="1"/>
        <rFont val="Calibri"/>
        <family val="2"/>
        <scheme val="minor"/>
      </rPr>
      <t>Tournage 1er côté (3 mors durs)</t>
    </r>
    <r>
      <rPr>
        <sz val="12"/>
        <color theme="1"/>
        <rFont val="Calibri"/>
        <family val="2"/>
        <scheme val="minor"/>
      </rPr>
      <t xml:space="preserve">
1-Pointage fôrêt à pointer
2-Perçage ø6,75
3-Dressage Chanfreinnage Chariotage (Outil à 80°)</t>
    </r>
  </si>
  <si>
    <r>
      <rPr>
        <b/>
        <u/>
        <sz val="12"/>
        <color theme="1"/>
        <rFont val="Calibri"/>
        <family val="2"/>
        <scheme val="minor"/>
      </rPr>
      <t>Tournage 2ème Côté (3 mors durs)</t>
    </r>
    <r>
      <rPr>
        <sz val="12"/>
        <color theme="1"/>
        <rFont val="Calibri"/>
        <family val="2"/>
        <scheme val="minor"/>
      </rPr>
      <t xml:space="preserve">
1-Pointage fôrêt à pointer
2-Perçage ø6,75
3-Dressage Chanfreinnage (Outil à 80°) </t>
    </r>
    <r>
      <rPr>
        <b/>
        <u/>
        <sz val="12"/>
        <color rgb="FFFF0000"/>
        <rFont val="Calibri"/>
        <family val="2"/>
        <scheme val="minor"/>
      </rPr>
      <t>(Longueur Utile + 23mm)</t>
    </r>
  </si>
  <si>
    <t>ENE-E : 2,78
ENE-L : 1,78</t>
  </si>
  <si>
    <t>Charge de l'entretoise-E</t>
  </si>
  <si>
    <t>Charge de l'entretoise-L</t>
  </si>
  <si>
    <t>EN-E : 2,78
EN-L : 1,79</t>
  </si>
  <si>
    <t>Charge</t>
  </si>
  <si>
    <t>En cH</t>
  </si>
  <si>
    <t>Moyeu</t>
  </si>
  <si>
    <t>Chappe</t>
  </si>
  <si>
    <t>Flasque</t>
  </si>
  <si>
    <t>Bras de Manivelle</t>
  </si>
  <si>
    <t>Entretoise</t>
  </si>
  <si>
    <t>Entretoise Epaulée</t>
  </si>
  <si>
    <t>Axe Manivelle</t>
  </si>
  <si>
    <t>Bande tôle</t>
  </si>
  <si>
    <t>Treuil</t>
  </si>
  <si>
    <t>Charge Total</t>
  </si>
  <si>
    <t>En heure</t>
  </si>
  <si>
    <t>Taux de Charge</t>
  </si>
  <si>
    <t>Nombre de jours</t>
  </si>
  <si>
    <t>Type de travail</t>
  </si>
  <si>
    <t>1x8</t>
  </si>
  <si>
    <t>Nombre d'heure par jours</t>
  </si>
  <si>
    <t>h</t>
  </si>
  <si>
    <t>Nombre d'heure par semaines</t>
  </si>
  <si>
    <t>Nombres d'heure sur la période</t>
  </si>
  <si>
    <t xml:space="preserve">nombre de flasque dans un brut </t>
  </si>
  <si>
    <t>nombre de flasque en une semaine</t>
  </si>
  <si>
    <t>Produit :</t>
  </si>
  <si>
    <t>Temps unitaire (en ch)</t>
  </si>
  <si>
    <t>Pour 1 semaine en ch</t>
  </si>
  <si>
    <t>Nb de changement de série par semaine</t>
  </si>
  <si>
    <t xml:space="preserve">Temps de changement de série en ch </t>
  </si>
  <si>
    <t>Charge de la Flasque</t>
  </si>
  <si>
    <t>Charge sur CISAG</t>
  </si>
  <si>
    <t>Charge sur CISAM</t>
  </si>
  <si>
    <t>Charge sur FR1</t>
  </si>
  <si>
    <t>Charge sur PERC1</t>
  </si>
  <si>
    <t>Charge sur TRIBO</t>
  </si>
  <si>
    <t>Calcul du temps unitaire pour la phase 40</t>
  </si>
  <si>
    <t>Catégorie</t>
  </si>
  <si>
    <t>Temps en sec</t>
  </si>
  <si>
    <t>Montage pièce</t>
  </si>
  <si>
    <t>manuel</t>
  </si>
  <si>
    <t>13 mesuré</t>
  </si>
  <si>
    <t xml:space="preserve">Chgt </t>
  </si>
  <si>
    <t>Calcul du temps unitaire pour la phase 20</t>
  </si>
  <si>
    <t xml:space="preserve">Montage foret a pointer </t>
  </si>
  <si>
    <t>45 mesuré</t>
  </si>
  <si>
    <t>Réalisation du pointage</t>
  </si>
  <si>
    <t>auto</t>
  </si>
  <si>
    <t>15 estimé</t>
  </si>
  <si>
    <t>Changement d'outil pour foret Ø12</t>
  </si>
  <si>
    <t>35 mesuré</t>
  </si>
  <si>
    <t>Réalisation du percage</t>
  </si>
  <si>
    <t>20 estimé</t>
  </si>
  <si>
    <t>Lu</t>
  </si>
  <si>
    <t>alimenter machine (2,03kg)</t>
  </si>
  <si>
    <t>Changement d'outil pour fraise 2 taille Ø12</t>
  </si>
  <si>
    <t>N</t>
  </si>
  <si>
    <t>Mettre en butée (2,03kg)</t>
  </si>
  <si>
    <t>Réalistation contournage</t>
  </si>
  <si>
    <t>47 calculé</t>
  </si>
  <si>
    <t>Vc</t>
  </si>
  <si>
    <t>découper Pièce N°1 (2,03kg)</t>
  </si>
  <si>
    <t xml:space="preserve">Démontage piece </t>
  </si>
  <si>
    <t>8 mesuré</t>
  </si>
  <si>
    <t>f</t>
  </si>
  <si>
    <t>Mettre en butée (1,85kg)</t>
  </si>
  <si>
    <t>Vf</t>
  </si>
  <si>
    <t>Découper Pièce N°2 (1,85kg)</t>
  </si>
  <si>
    <t>Total :</t>
  </si>
  <si>
    <t>t(min)</t>
  </si>
  <si>
    <t>Mettre en butée (1,68kg)</t>
  </si>
  <si>
    <t>En seconde</t>
  </si>
  <si>
    <t>sec</t>
  </si>
  <si>
    <t>Découper Pièce N°3 (1,68kg)</t>
  </si>
  <si>
    <t>En ch</t>
  </si>
  <si>
    <t>Mettre en butée (1,52kg)</t>
  </si>
  <si>
    <t>Découper Pièce N°4 (1,52kg)</t>
  </si>
  <si>
    <t>Mettre en butée (1,35kg)</t>
  </si>
  <si>
    <t>Calcul du temps unitaire pour la phase 50</t>
  </si>
  <si>
    <t>Découper Pièce N°5 (1,35kg)</t>
  </si>
  <si>
    <t>Mettre en butée (1,18kg)</t>
  </si>
  <si>
    <t>Découper Pièce N°6 (1,18kg)</t>
  </si>
  <si>
    <t>Mettre en butée (1,01kg)</t>
  </si>
  <si>
    <t>23 mesuré</t>
  </si>
  <si>
    <t>Découper Pièce N°7 (1,01kg)</t>
  </si>
  <si>
    <t>Montage outil foret Ø4,5</t>
  </si>
  <si>
    <t>10 mesuré</t>
  </si>
  <si>
    <t>Mettre en butée (1,69kg)</t>
  </si>
  <si>
    <t>Réalisation des deux percages</t>
  </si>
  <si>
    <t>20 mesuré</t>
  </si>
  <si>
    <t>Découper Pièce N°8 (0,84kg)</t>
  </si>
  <si>
    <t>Changement d'outil pour foret Ø8,5</t>
  </si>
  <si>
    <t>Mettre en butée (0,84kg)</t>
  </si>
  <si>
    <t>Réalisation des deux percage</t>
  </si>
  <si>
    <t>Découper Pièce N9 (0,67kg)</t>
  </si>
  <si>
    <t>Mettre en butée (0,67kg)</t>
  </si>
  <si>
    <t>Découper Pièce N°10 (0,5kg)</t>
  </si>
  <si>
    <t>Mettre en butée (0,5kg)</t>
  </si>
  <si>
    <t>Découper Pièce N°11 (0,33kg)</t>
  </si>
  <si>
    <t>Mettre en butée (0,33kg)</t>
  </si>
  <si>
    <t>Découper Pièce N°12 (0,16kg)</t>
  </si>
  <si>
    <t>évacuer les 12 pièces</t>
  </si>
  <si>
    <t>stocker les 12 pièces</t>
  </si>
  <si>
    <t>Calcul du temps unitaire pour la phase 60</t>
  </si>
  <si>
    <t>Total</t>
  </si>
  <si>
    <t>temps unitaire</t>
  </si>
  <si>
    <t>Type de treuil</t>
  </si>
  <si>
    <t>Flasque droit</t>
  </si>
  <si>
    <t>Temps de séjour</t>
  </si>
  <si>
    <t>200 ch</t>
  </si>
  <si>
    <t>Lot de production</t>
  </si>
  <si>
    <t>71 et 140</t>
  </si>
  <si>
    <t>57 et 47</t>
  </si>
  <si>
    <t>Lot de transfert / Lot de production</t>
  </si>
  <si>
    <t>MOY E</t>
  </si>
  <si>
    <t>MOY L</t>
  </si>
  <si>
    <t>AXE-E</t>
  </si>
  <si>
    <t>AXE-L</t>
  </si>
  <si>
    <t>Longueur utile</t>
  </si>
  <si>
    <t>Longueur pièce finie</t>
  </si>
  <si>
    <t>longueur utile + 45</t>
  </si>
  <si>
    <t>4,4 et 4,6</t>
  </si>
  <si>
    <t>Longueur pièce brute</t>
  </si>
  <si>
    <t xml:space="preserve"> + 2 fois la surépaisseurs</t>
  </si>
  <si>
    <r>
      <rPr>
        <b/>
        <u/>
        <sz val="11"/>
        <color theme="1"/>
        <rFont val="Calibri"/>
        <family val="2"/>
        <scheme val="minor"/>
      </rPr>
      <t>Tournage 2ème Côté (3 mors durs)</t>
    </r>
    <r>
      <rPr>
        <sz val="11"/>
        <color theme="1"/>
        <rFont val="Calibri"/>
        <family val="2"/>
        <scheme val="minor"/>
      </rPr>
      <t xml:space="preserve">
1-Dressage Chanfreinnage (Outil à 80°) </t>
    </r>
    <r>
      <rPr>
        <b/>
        <u/>
        <sz val="11"/>
        <color rgb="FFFF0000"/>
        <rFont val="Calibri"/>
        <family val="2"/>
        <scheme val="minor"/>
      </rPr>
      <t>(Longueur Utile + 45mm)</t>
    </r>
    <r>
      <rPr>
        <sz val="11"/>
        <color theme="1"/>
        <rFont val="Calibri"/>
        <family val="2"/>
        <scheme val="minor"/>
      </rPr>
      <t xml:space="preserve"> =&gt; (L1= 99 mm L2= 123 mm)</t>
    </r>
  </si>
  <si>
    <t>Longueur consommée pour une pièce</t>
  </si>
  <si>
    <t xml:space="preserve"> + 2mm de scie et une incertitude de 1mm</t>
  </si>
  <si>
    <t>Nb de pièce réalisables dans une barre de 6m</t>
  </si>
  <si>
    <t>barre de 6m divisé par la longueur consommée pour une pièce</t>
  </si>
  <si>
    <t xml:space="preserve">Chute </t>
  </si>
  <si>
    <t>en millimètres</t>
  </si>
  <si>
    <t>3,5 et 4,3</t>
  </si>
  <si>
    <t>Calcul du temps unitaire pour la phase 30</t>
  </si>
  <si>
    <t>Temps en sec treuil étroit</t>
  </si>
  <si>
    <t>Temps en sec treuil large</t>
  </si>
  <si>
    <t>Montage pièce (3 mors durs)</t>
  </si>
  <si>
    <t>Manuel</t>
  </si>
  <si>
    <t>Cycle de dressage</t>
  </si>
  <si>
    <t>Montage foret à pointer sur poupée mobile</t>
  </si>
  <si>
    <t>19 mesuré</t>
  </si>
  <si>
    <t xml:space="preserve">Réalisation du pointage </t>
  </si>
  <si>
    <t>Techno manuel</t>
  </si>
  <si>
    <t>10 estimé</t>
  </si>
  <si>
    <t>Montage foret Ø6,75 sur poupée mobile</t>
  </si>
  <si>
    <t>Détail du cycle de dressage / chariotage :</t>
  </si>
  <si>
    <t>Lu :</t>
  </si>
  <si>
    <t>Réalisation perçage sur la moitié de la longueur</t>
  </si>
  <si>
    <t>30 mesuré</t>
  </si>
  <si>
    <t>N :</t>
  </si>
  <si>
    <t>Sélection de l'outil à 80°</t>
  </si>
  <si>
    <t>21 mesuré</t>
  </si>
  <si>
    <t xml:space="preserve">ØD =18mm Ød = 15mm </t>
  </si>
  <si>
    <t>Vf :</t>
  </si>
  <si>
    <t xml:space="preserve">Réalisation du cycle dressage chariotage </t>
  </si>
  <si>
    <t>Technologique</t>
  </si>
  <si>
    <t>27,8 calculé</t>
  </si>
  <si>
    <t>Vc = 150 m/min f = 0,15 mm/tr</t>
  </si>
  <si>
    <t>Tps  en sec :</t>
  </si>
  <si>
    <t>Démontage de la pièce (3 mors durs)</t>
  </si>
  <si>
    <t>Cycle de chariotage</t>
  </si>
  <si>
    <t>Passe</t>
  </si>
  <si>
    <t>Ø</t>
  </si>
  <si>
    <t>Tps en min</t>
  </si>
  <si>
    <t>Tps s</t>
  </si>
  <si>
    <t>Finition axiale</t>
  </si>
  <si>
    <t>Cycle complet en seconde : 27,8</t>
  </si>
  <si>
    <t>Détail du cycle de dressage :</t>
  </si>
  <si>
    <t>Réalisation du cycle dressage</t>
  </si>
  <si>
    <t>2,6 calculé</t>
  </si>
  <si>
    <t>Calcul du temps unitaire pour la phase 70</t>
  </si>
  <si>
    <t>Etroit</t>
  </si>
  <si>
    <t>Large</t>
  </si>
  <si>
    <t>charge sur SCIE</t>
  </si>
  <si>
    <t>Charge sur TOUR1</t>
  </si>
  <si>
    <t>Charge sur TOUR2</t>
  </si>
  <si>
    <t>Charge sur BRAS</t>
  </si>
  <si>
    <t>Charge sur FR2</t>
  </si>
  <si>
    <t>TR-E</t>
  </si>
  <si>
    <t>TR-L</t>
  </si>
  <si>
    <t>Charge du Treuil</t>
  </si>
  <si>
    <t>Charge sur ASS</t>
  </si>
  <si>
    <t xml:space="preserve">MOY-E
</t>
  </si>
  <si>
    <t>MOY-L</t>
  </si>
  <si>
    <t>144 et 112</t>
  </si>
  <si>
    <t>72 et 56</t>
  </si>
  <si>
    <t>Taille produit fini</t>
  </si>
  <si>
    <r>
      <rPr>
        <b/>
        <u/>
        <sz val="11"/>
        <color theme="1"/>
        <rFont val="Calibri"/>
        <family val="2"/>
        <scheme val="minor"/>
      </rPr>
      <t>Tournage 2ème Côté (3 mors durs)</t>
    </r>
    <r>
      <rPr>
        <sz val="11"/>
        <color theme="1"/>
        <rFont val="Calibri"/>
        <family val="2"/>
        <scheme val="minor"/>
      </rPr>
      <t xml:space="preserve">
1-Pointage fôrêt à pointer
2-Perçage ø14,5 sur la moitié de la longueur
3-Dressage et Chariotage épaulement (Outil à 80°)
</t>
    </r>
    <r>
      <rPr>
        <b/>
        <u/>
        <sz val="11"/>
        <color rgb="FFFF0000"/>
        <rFont val="Calibri"/>
        <family val="2"/>
        <scheme val="minor"/>
      </rPr>
      <t>(Longueur Utile + 22,5)</t>
    </r>
    <r>
      <rPr>
        <sz val="11"/>
        <color theme="1"/>
        <rFont val="Calibri"/>
        <family val="2"/>
        <scheme val="minor"/>
      </rPr>
      <t xml:space="preserve"> =&gt; (L1= 76,5mm L2= 100,5mm)</t>
    </r>
  </si>
  <si>
    <t xml:space="preserve">Taille brut </t>
  </si>
  <si>
    <t>Nb bruts/barre</t>
  </si>
  <si>
    <t xml:space="preserve">donc 72 et 56 </t>
  </si>
  <si>
    <t>TU total</t>
  </si>
  <si>
    <t>Coté 1</t>
  </si>
  <si>
    <t>court</t>
  </si>
  <si>
    <t>long</t>
  </si>
  <si>
    <t>Coté 2</t>
  </si>
  <si>
    <t>Montage fôret à pointer sur poupée mobile</t>
  </si>
  <si>
    <t xml:space="preserve">Réalisation perçage sur 1/2 longueur </t>
  </si>
  <si>
    <t>Réalisation du cycle dressage chariotage épaulement</t>
  </si>
  <si>
    <t xml:space="preserve">Démontage de la pièce (3 mors durs) </t>
  </si>
  <si>
    <t>Calcul temps perçage 1 côté :</t>
  </si>
  <si>
    <r>
      <rPr>
        <sz val="11"/>
        <color theme="1"/>
        <rFont val="Cambria Math"/>
        <family val="1"/>
      </rPr>
      <t>Vf=(1000.Vc)/(π.D).f=1000.20/(π.14,5).0,3</t>
    </r>
    <r>
      <rPr>
        <i/>
        <sz val="11"/>
        <color rgb="FF000000"/>
        <rFont val="Cambria Math"/>
        <family val="1"/>
      </rPr>
      <t xml:space="preserve"> =  132 mm/min</t>
    </r>
  </si>
  <si>
    <r>
      <t xml:space="preserve">Tps treuil court  = </t>
    </r>
    <r>
      <rPr>
        <sz val="11"/>
        <color theme="1"/>
        <rFont val="Cambria Math"/>
        <family val="1"/>
      </rPr>
      <t xml:space="preserve">d/Vf  </t>
    </r>
    <r>
      <rPr>
        <sz val="11"/>
        <color rgb="FF000000"/>
        <rFont val="Cambria Math"/>
        <family val="1"/>
      </rPr>
      <t xml:space="preserve"> = 38,25</t>
    </r>
    <r>
      <rPr>
        <sz val="11"/>
        <color theme="1"/>
        <rFont val="Cambria Math"/>
        <family val="1"/>
      </rPr>
      <t>/132</t>
    </r>
    <r>
      <rPr>
        <sz val="11"/>
        <color rgb="FF000000"/>
        <rFont val="Cambria Math"/>
        <family val="1"/>
      </rPr>
      <t xml:space="preserve"> =0,29min</t>
    </r>
    <r>
      <rPr>
        <i/>
        <sz val="11"/>
        <color rgb="FF000000"/>
        <rFont val="Cambria Math"/>
        <family val="1"/>
      </rPr>
      <t>=0,4833ch</t>
    </r>
  </si>
  <si>
    <t xml:space="preserve">    Tps treuil long  = d/Vf   = 50,25/132 =0,38min=0,6333</t>
  </si>
  <si>
    <t>Percage</t>
  </si>
  <si>
    <t xml:space="preserve">Temps pliage : </t>
  </si>
  <si>
    <t>car piece &lt; 5kg</t>
  </si>
  <si>
    <t>Presse plieuse (temps en centieme d'heure (ch))</t>
  </si>
  <si>
    <t>Manipulation</t>
  </si>
  <si>
    <t>Alimenter machine</t>
  </si>
  <si>
    <t>Mettre en butée</t>
  </si>
  <si>
    <t>Temps machine (plier)</t>
  </si>
  <si>
    <t>Dégager la pièce</t>
  </si>
  <si>
    <t>Les valeurs manquantes sont à déterminer par l'étudiant 1</t>
  </si>
  <si>
    <t>TU total :</t>
  </si>
  <si>
    <t>Evacuer la pièce</t>
  </si>
  <si>
    <t>Stocker la pièce</t>
  </si>
  <si>
    <t>Nombre de pieces/barre</t>
  </si>
  <si>
    <t>Poids en kg</t>
  </si>
  <si>
    <t>&lt;5</t>
  </si>
  <si>
    <t>5 à 20</t>
  </si>
  <si>
    <t>21 à 30</t>
  </si>
  <si>
    <t>31 à 40</t>
  </si>
  <si>
    <t>41 à 50</t>
  </si>
  <si>
    <t>51 à 70</t>
  </si>
  <si>
    <t>71 à 90</t>
  </si>
  <si>
    <t>91 à 100</t>
  </si>
  <si>
    <t>101 à 120</t>
  </si>
  <si>
    <t>121 à 150</t>
  </si>
  <si>
    <t>6000/210=28</t>
  </si>
  <si>
    <t>Quantité semaine</t>
  </si>
  <si>
    <t>Treuil  E</t>
  </si>
  <si>
    <t>Treuil L</t>
  </si>
  <si>
    <t>Nom Machine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</si>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</sst>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"/>
    <numFmt numFmtId="166" formatCode="_-* #,##0.0_-;\-* #,##0.0_-;_-* &quot;-&quot;??_-;_-@_-"/>
  </numFmts>
  <fonts count="3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theme="1"/>
      <name val="Cambria Math"/>
      <family val="1"/>
    </font>
    <font>
      <i/>
      <sz val="11"/>
      <color rgb="FF000000"/>
      <name val="Cambria Math"/>
      <family val="1"/>
    </font>
    <font>
      <sz val="11"/>
      <color rgb="FF000000"/>
      <name val="Cambria Math"/>
      <family val="1"/>
    </font>
    <font>
      <sz val="16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400">
    <xf numFmtId="0" fontId="0" fillId="0" borderId="0" xfId="0"/>
    <xf numFmtId="0" fontId="0" fillId="0" borderId="11" xfId="0" applyBorder="1"/>
    <xf numFmtId="0" fontId="0" fillId="2" borderId="5" xfId="0" applyFill="1" applyBorder="1"/>
    <xf numFmtId="0" fontId="0" fillId="2" borderId="7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0" fontId="0" fillId="2" borderId="17" xfId="0" applyFill="1" applyBorder="1" applyAlignment="1">
      <alignment horizontal="left"/>
    </xf>
    <xf numFmtId="0" fontId="0" fillId="2" borderId="10" xfId="0" applyFill="1" applyBorder="1"/>
    <xf numFmtId="0" fontId="0" fillId="2" borderId="16" xfId="0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2" borderId="8" xfId="0" applyFont="1" applyFill="1" applyBorder="1"/>
    <xf numFmtId="0" fontId="7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" fillId="0" borderId="0" xfId="0" applyFont="1"/>
    <xf numFmtId="0" fontId="11" fillId="0" borderId="19" xfId="0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1" fillId="2" borderId="0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3" borderId="23" xfId="0" applyFont="1" applyFill="1" applyBorder="1"/>
    <xf numFmtId="0" fontId="15" fillId="0" borderId="23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7" fillId="2" borderId="23" xfId="0" applyFont="1" applyFill="1" applyBorder="1"/>
    <xf numFmtId="0" fontId="18" fillId="2" borderId="23" xfId="0" applyFont="1" applyFill="1" applyBorder="1"/>
    <xf numFmtId="0" fontId="19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10" xfId="0" applyFont="1" applyBorder="1" applyAlignment="1">
      <alignment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11" xfId="0" applyFont="1" applyBorder="1"/>
    <xf numFmtId="2" fontId="15" fillId="0" borderId="1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0" xfId="0" applyFont="1" applyBorder="1"/>
    <xf numFmtId="0" fontId="14" fillId="0" borderId="1" xfId="0" applyFont="1" applyBorder="1" applyAlignment="1">
      <alignment horizontal="center"/>
    </xf>
    <xf numFmtId="0" fontId="15" fillId="5" borderId="3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2" fontId="0" fillId="5" borderId="23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10" fontId="0" fillId="7" borderId="50" xfId="0" applyNumberFormat="1" applyFill="1" applyBorder="1" applyAlignment="1">
      <alignment horizontal="center" vertical="center"/>
    </xf>
    <xf numFmtId="10" fontId="0" fillId="7" borderId="2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8" fillId="8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55" xfId="0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 vertical="center" textRotation="90" wrapText="1"/>
    </xf>
    <xf numFmtId="0" fontId="0" fillId="0" borderId="57" xfId="0" applyBorder="1" applyAlignment="1">
      <alignment horizontal="center" vertical="center" textRotation="90" wrapText="1"/>
    </xf>
    <xf numFmtId="0" fontId="0" fillId="0" borderId="5" xfId="0" applyBorder="1"/>
    <xf numFmtId="0" fontId="14" fillId="0" borderId="30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165" fontId="0" fillId="5" borderId="1" xfId="0" applyNumberFormat="1" applyFill="1" applyBorder="1"/>
    <xf numFmtId="0" fontId="0" fillId="0" borderId="6" xfId="0" applyBorder="1" applyAlignment="1">
      <alignment horizontal="center"/>
    </xf>
    <xf numFmtId="165" fontId="2" fillId="0" borderId="6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27" fillId="0" borderId="0" xfId="0" applyFont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7" xfId="0" applyBorder="1"/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30" fillId="0" borderId="0" xfId="0" applyFont="1"/>
    <xf numFmtId="0" fontId="8" fillId="0" borderId="1" xfId="0" applyFont="1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26" fillId="0" borderId="0" xfId="0" applyFont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61" xfId="0" applyBorder="1"/>
    <xf numFmtId="0" fontId="0" fillId="0" borderId="61" xfId="0" applyBorder="1" applyAlignment="1">
      <alignment horizontal="center"/>
    </xf>
    <xf numFmtId="0" fontId="0" fillId="9" borderId="1" xfId="0" applyFill="1" applyBorder="1"/>
    <xf numFmtId="0" fontId="8" fillId="9" borderId="1" xfId="0" applyFont="1" applyFill="1" applyBorder="1"/>
    <xf numFmtId="0" fontId="0" fillId="10" borderId="1" xfId="0" applyFill="1" applyBorder="1"/>
    <xf numFmtId="2" fontId="8" fillId="10" borderId="1" xfId="0" applyNumberFormat="1" applyFont="1" applyFill="1" applyBorder="1"/>
    <xf numFmtId="165" fontId="0" fillId="0" borderId="1" xfId="0" applyNumberForma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" fillId="2" borderId="63" xfId="0" applyFont="1" applyFill="1" applyBorder="1"/>
    <xf numFmtId="0" fontId="1" fillId="2" borderId="64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29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31" fillId="0" borderId="1" xfId="0" applyFont="1" applyBorder="1"/>
    <xf numFmtId="0" fontId="0" fillId="2" borderId="60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0" borderId="62" xfId="0" applyBorder="1"/>
    <xf numFmtId="0" fontId="0" fillId="0" borderId="63" xfId="0" applyBorder="1" applyAlignment="1">
      <alignment horizontal="center" vertical="center" textRotation="90" wrapText="1"/>
    </xf>
    <xf numFmtId="0" fontId="0" fillId="0" borderId="64" xfId="0" applyBorder="1" applyAlignment="1">
      <alignment horizontal="center" vertical="center" textRotation="90" wrapText="1"/>
    </xf>
    <xf numFmtId="1" fontId="0" fillId="0" borderId="1" xfId="0" applyNumberFormat="1" applyBorder="1" applyAlignment="1">
      <alignment horizontal="center"/>
    </xf>
    <xf numFmtId="0" fontId="0" fillId="0" borderId="37" xfId="0" applyBorder="1"/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36" xfId="0" applyBorder="1"/>
    <xf numFmtId="0" fontId="32" fillId="0" borderId="0" xfId="0" applyFont="1"/>
    <xf numFmtId="0" fontId="0" fillId="0" borderId="66" xfId="0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1" fontId="32" fillId="0" borderId="1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165" fontId="32" fillId="0" borderId="1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2" fontId="32" fillId="0" borderId="1" xfId="0" applyNumberFormat="1" applyFont="1" applyBorder="1" applyAlignment="1">
      <alignment horizontal="center"/>
    </xf>
    <xf numFmtId="0" fontId="32" fillId="12" borderId="0" xfId="0" applyFont="1" applyFill="1" applyAlignment="1">
      <alignment horizontal="center"/>
    </xf>
    <xf numFmtId="0" fontId="1" fillId="2" borderId="14" xfId="0" applyFont="1" applyFill="1" applyBorder="1"/>
    <xf numFmtId="0" fontId="0" fillId="2" borderId="25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14" fillId="0" borderId="42" xfId="0" applyFon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5" borderId="58" xfId="0" applyNumberForma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14" fillId="0" borderId="61" xfId="0" applyFont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6" fontId="0" fillId="0" borderId="1" xfId="1" applyNumberFormat="1" applyFont="1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0" borderId="23" xfId="0" applyBorder="1"/>
    <xf numFmtId="0" fontId="0" fillId="0" borderId="74" xfId="0" applyBorder="1"/>
    <xf numFmtId="0" fontId="14" fillId="0" borderId="1" xfId="0" applyFont="1" applyBorder="1"/>
    <xf numFmtId="0" fontId="35" fillId="0" borderId="0" xfId="0" applyFont="1" applyAlignment="1">
      <alignment horizontal="left" vertical="center" readingOrder="1"/>
    </xf>
    <xf numFmtId="0" fontId="36" fillId="0" borderId="0" xfId="0" applyFont="1" applyAlignment="1">
      <alignment horizontal="left" vertical="center" readingOrder="1"/>
    </xf>
    <xf numFmtId="0" fontId="15" fillId="8" borderId="23" xfId="0" applyFont="1" applyFill="1" applyBorder="1" applyAlignment="1">
      <alignment horizontal="center" vertical="center" wrapText="1"/>
    </xf>
    <xf numFmtId="0" fontId="15" fillId="13" borderId="3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13" borderId="2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20" fillId="0" borderId="58" xfId="0" applyFont="1" applyBorder="1"/>
    <xf numFmtId="0" fontId="20" fillId="0" borderId="74" xfId="0" applyFont="1" applyBorder="1"/>
    <xf numFmtId="0" fontId="20" fillId="0" borderId="2" xfId="0" applyFont="1" applyBorder="1"/>
    <xf numFmtId="0" fontId="20" fillId="0" borderId="0" xfId="0" applyFont="1"/>
    <xf numFmtId="0" fontId="0" fillId="0" borderId="76" xfId="0" applyBorder="1"/>
    <xf numFmtId="0" fontId="0" fillId="0" borderId="10" xfId="0" applyBorder="1"/>
    <xf numFmtId="0" fontId="0" fillId="0" borderId="16" xfId="0" applyBorder="1"/>
    <xf numFmtId="0" fontId="0" fillId="14" borderId="35" xfId="0" applyFill="1" applyBorder="1"/>
    <xf numFmtId="0" fontId="0" fillId="14" borderId="1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39" xfId="0" applyFill="1" applyBorder="1"/>
    <xf numFmtId="0" fontId="0" fillId="15" borderId="30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4" borderId="39" xfId="0" applyFill="1" applyBorder="1"/>
    <xf numFmtId="0" fontId="0" fillId="14" borderId="3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38" fillId="0" borderId="77" xfId="0" applyFont="1" applyBorder="1"/>
    <xf numFmtId="2" fontId="38" fillId="0" borderId="74" xfId="0" applyNumberFormat="1" applyFont="1" applyBorder="1"/>
    <xf numFmtId="0" fontId="0" fillId="15" borderId="45" xfId="0" applyFill="1" applyBorder="1"/>
    <xf numFmtId="0" fontId="0" fillId="15" borderId="78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7" borderId="31" xfId="0" applyFill="1" applyBorder="1"/>
    <xf numFmtId="0" fontId="0" fillId="7" borderId="79" xfId="0" applyFill="1" applyBorder="1" applyAlignment="1">
      <alignment horizontal="center" vertical="center"/>
    </xf>
    <xf numFmtId="0" fontId="0" fillId="7" borderId="80" xfId="0" applyFill="1" applyBorder="1" applyAlignment="1">
      <alignment horizontal="center" vertical="center"/>
    </xf>
    <xf numFmtId="0" fontId="0" fillId="7" borderId="81" xfId="0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8" borderId="31" xfId="0" applyFill="1" applyBorder="1"/>
    <xf numFmtId="0" fontId="0" fillId="8" borderId="79" xfId="0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  <xf numFmtId="0" fontId="0" fillId="8" borderId="81" xfId="0" applyFill="1" applyBorder="1" applyAlignment="1">
      <alignment horizontal="center" vertical="center"/>
    </xf>
    <xf numFmtId="0" fontId="0" fillId="0" borderId="73" xfId="0" applyBorder="1"/>
    <xf numFmtId="0" fontId="0" fillId="0" borderId="82" xfId="0" applyBorder="1"/>
    <xf numFmtId="0" fontId="15" fillId="0" borderId="44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58" xfId="0" applyFont="1" applyBorder="1" applyAlignment="1">
      <alignment horizontal="center" vertical="center"/>
    </xf>
    <xf numFmtId="2" fontId="15" fillId="0" borderId="58" xfId="0" applyNumberFormat="1" applyFont="1" applyBorder="1" applyAlignment="1">
      <alignment horizontal="center" vertical="center" wrapText="1"/>
    </xf>
    <xf numFmtId="2" fontId="15" fillId="0" borderId="61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8" borderId="58" xfId="0" applyFont="1" applyFill="1" applyBorder="1" applyAlignment="1">
      <alignment horizontal="center" vertical="center"/>
    </xf>
    <xf numFmtId="0" fontId="15" fillId="8" borderId="59" xfId="0" applyFont="1" applyFill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10" fillId="13" borderId="74" xfId="0" applyFont="1" applyFill="1" applyBorder="1" applyAlignment="1">
      <alignment horizontal="center" vertical="center"/>
    </xf>
    <xf numFmtId="0" fontId="0" fillId="2" borderId="32" xfId="0" applyFill="1" applyBorder="1"/>
    <xf numFmtId="0" fontId="0" fillId="2" borderId="31" xfId="0" applyFill="1" applyBorder="1"/>
    <xf numFmtId="0" fontId="4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1" fillId="2" borderId="51" xfId="0" applyFont="1" applyFill="1" applyBorder="1"/>
    <xf numFmtId="0" fontId="1" fillId="2" borderId="3" xfId="0" applyFont="1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52" xfId="0" applyFill="1" applyBorder="1"/>
    <xf numFmtId="0" fontId="0" fillId="2" borderId="53" xfId="0" applyFill="1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5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2" fillId="11" borderId="0" xfId="0" applyFont="1" applyFill="1" applyAlignment="1">
      <alignment horizontal="center"/>
    </xf>
    <xf numFmtId="0" fontId="10" fillId="0" borderId="18" xfId="0" applyFont="1" applyBorder="1" applyAlignment="1">
      <alignment horizontal="center" shrinkToFit="1"/>
    </xf>
    <xf numFmtId="0" fontId="0" fillId="0" borderId="18" xfId="0" applyBorder="1"/>
    <xf numFmtId="0" fontId="1" fillId="2" borderId="62" xfId="0" applyFont="1" applyFill="1" applyBorder="1"/>
    <xf numFmtId="0" fontId="1" fillId="2" borderId="56" xfId="0" applyFont="1" applyFill="1" applyBorder="1"/>
    <xf numFmtId="0" fontId="0" fillId="2" borderId="37" xfId="0" applyFill="1" applyBorder="1"/>
    <xf numFmtId="0" fontId="0" fillId="2" borderId="47" xfId="0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69" xfId="0" applyFill="1" applyBorder="1"/>
    <xf numFmtId="0" fontId="0" fillId="2" borderId="25" xfId="0" applyFill="1" applyBorder="1"/>
    <xf numFmtId="0" fontId="0" fillId="2" borderId="30" xfId="0" applyFill="1" applyBorder="1"/>
    <xf numFmtId="0" fontId="0" fillId="2" borderId="70" xfId="0" applyFill="1" applyBorder="1"/>
    <xf numFmtId="0" fontId="0" fillId="2" borderId="71" xfId="0" applyFill="1" applyBorder="1"/>
    <xf numFmtId="0" fontId="0" fillId="2" borderId="46" xfId="0" applyFill="1" applyBorder="1"/>
    <xf numFmtId="0" fontId="4" fillId="0" borderId="0" xfId="0" applyFont="1" applyBorder="1" applyAlignment="1">
      <alignment horizontal="center"/>
    </xf>
    <xf numFmtId="0" fontId="0" fillId="5" borderId="3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16" borderId="33" xfId="0" applyFill="1" applyBorder="1" applyAlignment="1">
      <alignment horizontal="center" vertical="center" wrapText="1"/>
    </xf>
    <xf numFmtId="0" fontId="15" fillId="16" borderId="36" xfId="0" applyFont="1" applyFill="1" applyBorder="1" applyAlignment="1">
      <alignment horizontal="center" vertical="center"/>
    </xf>
    <xf numFmtId="2" fontId="0" fillId="16" borderId="35" xfId="0" applyNumberFormat="1" applyFill="1" applyBorder="1" applyAlignment="1">
      <alignment horizontal="center" vertical="center"/>
    </xf>
    <xf numFmtId="0" fontId="0" fillId="16" borderId="39" xfId="0" applyFill="1" applyBorder="1" applyAlignment="1">
      <alignment horizontal="center" vertical="center"/>
    </xf>
    <xf numFmtId="2" fontId="0" fillId="16" borderId="39" xfId="0" applyNumberFormat="1" applyFill="1" applyBorder="1" applyAlignment="1">
      <alignment horizontal="center" vertical="center"/>
    </xf>
    <xf numFmtId="2" fontId="0" fillId="16" borderId="41" xfId="0" applyNumberFormat="1" applyFill="1" applyBorder="1" applyAlignment="1">
      <alignment horizontal="center" vertical="center"/>
    </xf>
    <xf numFmtId="0" fontId="0" fillId="16" borderId="41" xfId="0" applyFill="1" applyBorder="1" applyAlignment="1">
      <alignment horizontal="center" vertical="center"/>
    </xf>
    <xf numFmtId="0" fontId="0" fillId="16" borderId="45" xfId="0" applyFill="1" applyBorder="1" applyAlignment="1">
      <alignment horizontal="center" vertical="center"/>
    </xf>
    <xf numFmtId="0" fontId="15" fillId="16" borderId="37" xfId="0" applyFont="1" applyFill="1" applyBorder="1" applyAlignment="1">
      <alignment horizontal="center" vertical="center"/>
    </xf>
    <xf numFmtId="0" fontId="15" fillId="16" borderId="38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15" fillId="16" borderId="39" xfId="0" applyFont="1" applyFill="1" applyBorder="1" applyAlignment="1">
      <alignment horizontal="center" vertical="center"/>
    </xf>
    <xf numFmtId="2" fontId="0" fillId="16" borderId="37" xfId="0" applyNumberFormat="1" applyFill="1" applyBorder="1" applyAlignment="1">
      <alignment horizontal="center" vertical="center"/>
    </xf>
    <xf numFmtId="0" fontId="0" fillId="16" borderId="37" xfId="0" applyFill="1" applyBorder="1" applyAlignment="1">
      <alignment horizontal="center" vertical="center"/>
    </xf>
    <xf numFmtId="2" fontId="0" fillId="16" borderId="36" xfId="0" applyNumberFormat="1" applyFill="1" applyBorder="1" applyAlignment="1">
      <alignment horizontal="center" vertical="center"/>
    </xf>
    <xf numFmtId="0" fontId="0" fillId="16" borderId="36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/>
    </xf>
    <xf numFmtId="2" fontId="0" fillId="16" borderId="5" xfId="0" applyNumberFormat="1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2" fontId="0" fillId="16" borderId="44" xfId="0" applyNumberFormat="1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35" xfId="0" applyFill="1" applyBorder="1" applyAlignment="1">
      <alignment horizontal="center" vertical="center" wrapText="1"/>
    </xf>
    <xf numFmtId="2" fontId="0" fillId="16" borderId="45" xfId="0" applyNumberForma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4.wdp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5.wdp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6.wdp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7.wdp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281940</xdr:colOff>
      <xdr:row>4</xdr:row>
      <xdr:rowOff>26346</xdr:rowOff>
    </xdr:from>
    <xdr:ext cx="1056026" cy="1101414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1940" y="1116006"/>
          <a:ext cx="1056026" cy="1101414"/>
        </a:xfrm>
        <a:prstGeom prst="rect">
          <a:avLst/>
        </a:prstGeom>
      </xdr:spPr>
    </xdr:pic>
    <xdr:clientData/>
  </xdr:oneCellAnchor>
  <xdr:oneCellAnchor>
    <xdr:from>
      <xdr:col>0</xdr:col>
      <xdr:colOff>281940</xdr:colOff>
      <xdr:row>4</xdr:row>
      <xdr:rowOff>26346</xdr:rowOff>
    </xdr:from>
    <xdr:ext cx="1056026" cy="1101414"/>
    <xdr:pic>
      <xdr:nvPicPr>
        <xdr:cNvPr id="3" name="Image 2">
          <a:extLst>
            <a:ext uri="{FF2B5EF4-FFF2-40B4-BE49-F238E27FC236}">
              <a16:creationId xmlns:a16="http://schemas.microsoft.com/office/drawing/2014/main" id="{5853B2CE-035E-4F65-AAE0-1F661ECE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1940" y="1140771"/>
          <a:ext cx="1056026" cy="11014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5</xdr:row>
      <xdr:rowOff>26328</xdr:rowOff>
    </xdr:from>
    <xdr:to>
      <xdr:col>0</xdr:col>
      <xdr:colOff>1466740</xdr:colOff>
      <xdr:row>5</xdr:row>
      <xdr:rowOff>1104900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017919"/>
          <a:ext cx="1352441" cy="1078572"/>
        </a:xfrm>
        <a:prstGeom prst="rect">
          <a:avLst/>
        </a:prstGeom>
      </xdr:spPr>
    </xdr:pic>
    <xdr:clientData/>
  </xdr:twoCellAnchor>
  <xdr:twoCellAnchor>
    <xdr:from>
      <xdr:col>9</xdr:col>
      <xdr:colOff>687209</xdr:colOff>
      <xdr:row>18</xdr:row>
      <xdr:rowOff>112664</xdr:rowOff>
    </xdr:from>
    <xdr:to>
      <xdr:col>9</xdr:col>
      <xdr:colOff>2539302</xdr:colOff>
      <xdr:row>19</xdr:row>
      <xdr:rowOff>166331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69F8A34-B81F-4775-BDBB-3F65DE5CF6BD}"/>
            </a:ext>
          </a:extLst>
        </xdr:cNvPr>
        <xdr:cNvCxnSpPr/>
      </xdr:nvCxnSpPr>
      <xdr:spPr>
        <a:xfrm>
          <a:off x="23512573" y="6762846"/>
          <a:ext cx="1852093" cy="330758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2360032</xdr:colOff>
      <xdr:row>15</xdr:row>
      <xdr:rowOff>146538</xdr:rowOff>
    </xdr:from>
    <xdr:to>
      <xdr:col>9</xdr:col>
      <xdr:colOff>710046</xdr:colOff>
      <xdr:row>18</xdr:row>
      <xdr:rowOff>225136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B1ECF80-F669-01DA-9ABA-1CD890E8543E}"/>
            </a:ext>
          </a:extLst>
        </xdr:cNvPr>
        <xdr:cNvSpPr txBox="1"/>
      </xdr:nvSpPr>
      <xdr:spPr>
        <a:xfrm>
          <a:off x="20370941" y="6155947"/>
          <a:ext cx="3164469" cy="7193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i="0">
              <a:solidFill>
                <a:srgbClr val="000000"/>
              </a:solidFill>
              <a:effectLst/>
              <a:latin typeface="Roboto" panose="02000000000000000000" pitchFamily="2" charset="0"/>
            </a:rPr>
            <a:t>- ×7 pour Chappe étroite  </a:t>
          </a:r>
        </a:p>
        <a:p>
          <a:r>
            <a:rPr lang="fr-FR" sz="2000" b="1" i="0">
              <a:solidFill>
                <a:srgbClr val="000000"/>
              </a:solidFill>
              <a:effectLst/>
              <a:latin typeface="Roboto" panose="02000000000000000000" pitchFamily="2" charset="0"/>
            </a:rPr>
            <a:t>- ×5 pour Chappe large</a:t>
          </a:r>
          <a:endParaRPr lang="fr-FR" sz="2000"/>
        </a:p>
      </xdr:txBody>
    </xdr:sp>
    <xdr:clientData/>
  </xdr:twoCellAnchor>
  <xdr:oneCellAnchor>
    <xdr:from>
      <xdr:col>0</xdr:col>
      <xdr:colOff>166254</xdr:colOff>
      <xdr:row>43</xdr:row>
      <xdr:rowOff>0</xdr:rowOff>
    </xdr:from>
    <xdr:ext cx="959427" cy="765144"/>
    <xdr:pic>
      <xdr:nvPicPr>
        <xdr:cNvPr id="3" name="Image 2">
          <a:extLst>
            <a:ext uri="{FF2B5EF4-FFF2-40B4-BE49-F238E27FC236}">
              <a16:creationId xmlns:a16="http://schemas.microsoft.com/office/drawing/2014/main" id="{3C3E18EA-DC6E-4E81-9BA4-7A75485B4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4" y="13456227"/>
          <a:ext cx="959427" cy="7651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434340</xdr:colOff>
      <xdr:row>4</xdr:row>
      <xdr:rowOff>22860</xdr:rowOff>
    </xdr:from>
    <xdr:ext cx="853440" cy="1082325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1112520"/>
          <a:ext cx="853440" cy="10823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30479</xdr:colOff>
      <xdr:row>4</xdr:row>
      <xdr:rowOff>304800</xdr:rowOff>
    </xdr:from>
    <xdr:ext cx="1714223" cy="53340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479" y="1394460"/>
          <a:ext cx="1714223" cy="533400"/>
        </a:xfrm>
        <a:prstGeom prst="rect">
          <a:avLst/>
        </a:prstGeom>
      </xdr:spPr>
    </xdr:pic>
    <xdr:clientData/>
  </xdr:oneCellAnchor>
  <xdr:oneCellAnchor>
    <xdr:from>
      <xdr:col>0</xdr:col>
      <xdr:colOff>30480</xdr:colOff>
      <xdr:row>4</xdr:row>
      <xdr:rowOff>304800</xdr:rowOff>
    </xdr:from>
    <xdr:ext cx="1683612" cy="523875"/>
    <xdr:pic>
      <xdr:nvPicPr>
        <xdr:cNvPr id="2" name="Image 1">
          <a:extLst>
            <a:ext uri="{FF2B5EF4-FFF2-40B4-BE49-F238E27FC236}">
              <a16:creationId xmlns:a16="http://schemas.microsoft.com/office/drawing/2014/main" id="{48326399-C630-4BB8-A296-6DBFD072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480" y="1419225"/>
          <a:ext cx="1683612" cy="523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147475</xdr:colOff>
      <xdr:row>5</xdr:row>
      <xdr:rowOff>132761</xdr:rowOff>
    </xdr:from>
    <xdr:ext cx="1461193" cy="934248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7475" y="1233428"/>
          <a:ext cx="1461193" cy="934248"/>
        </a:xfrm>
        <a:prstGeom prst="rect">
          <a:avLst/>
        </a:prstGeom>
      </xdr:spPr>
    </xdr:pic>
    <xdr:clientData/>
  </xdr:oneCellAnchor>
  <xdr:oneCellAnchor>
    <xdr:from>
      <xdr:col>0</xdr:col>
      <xdr:colOff>276533</xdr:colOff>
      <xdr:row>44</xdr:row>
      <xdr:rowOff>76815</xdr:rowOff>
    </xdr:from>
    <xdr:ext cx="1198305" cy="766164"/>
    <xdr:pic>
      <xdr:nvPicPr>
        <xdr:cNvPr id="5" name="Image 4">
          <a:extLst>
            <a:ext uri="{FF2B5EF4-FFF2-40B4-BE49-F238E27FC236}">
              <a16:creationId xmlns:a16="http://schemas.microsoft.com/office/drawing/2014/main" id="{1DD69127-A5C0-44BB-A424-523BEA4E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533" y="15178549"/>
          <a:ext cx="1198305" cy="76616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213359</xdr:colOff>
      <xdr:row>5</xdr:row>
      <xdr:rowOff>126056</xdr:rowOff>
    </xdr:from>
    <xdr:ext cx="1405156" cy="963604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3359" y="1215716"/>
          <a:ext cx="1405156" cy="963604"/>
        </a:xfrm>
        <a:prstGeom prst="rect">
          <a:avLst/>
        </a:prstGeom>
      </xdr:spPr>
    </xdr:pic>
    <xdr:clientData/>
  </xdr:oneCellAnchor>
  <xdr:oneCellAnchor>
    <xdr:from>
      <xdr:col>0</xdr:col>
      <xdr:colOff>226017</xdr:colOff>
      <xdr:row>44</xdr:row>
      <xdr:rowOff>64576</xdr:rowOff>
    </xdr:from>
    <xdr:ext cx="1106462" cy="758771"/>
    <xdr:pic>
      <xdr:nvPicPr>
        <xdr:cNvPr id="5" name="Image 4">
          <a:extLst>
            <a:ext uri="{FF2B5EF4-FFF2-40B4-BE49-F238E27FC236}">
              <a16:creationId xmlns:a16="http://schemas.microsoft.com/office/drawing/2014/main" id="{C1DD58F6-F317-4ACD-8ECA-989D1DA41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6017" y="15449873"/>
          <a:ext cx="1106462" cy="7587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274320</xdr:colOff>
      <xdr:row>4</xdr:row>
      <xdr:rowOff>91440</xdr:rowOff>
    </xdr:from>
    <xdr:ext cx="1141486" cy="104394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4320" y="1181100"/>
          <a:ext cx="1141486" cy="104394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124691</xdr:colOff>
      <xdr:row>4</xdr:row>
      <xdr:rowOff>41562</xdr:rowOff>
    </xdr:from>
    <xdr:to>
      <xdr:col>0</xdr:col>
      <xdr:colOff>1692852</xdr:colOff>
      <xdr:row>4</xdr:row>
      <xdr:rowOff>1107997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91" y="1129144"/>
          <a:ext cx="1558636" cy="1066435"/>
        </a:xfrm>
        <a:prstGeom prst="rect">
          <a:avLst/>
        </a:prstGeom>
      </xdr:spPr>
    </xdr:pic>
    <xdr:clientData/>
  </xdr:twoCellAnchor>
  <xdr:oneCellAnchor>
    <xdr:from>
      <xdr:col>0</xdr:col>
      <xdr:colOff>124691</xdr:colOff>
      <xdr:row>14</xdr:row>
      <xdr:rowOff>41562</xdr:rowOff>
    </xdr:from>
    <xdr:ext cx="1562446" cy="1066435"/>
    <xdr:pic>
      <xdr:nvPicPr>
        <xdr:cNvPr id="3" name="Image 2">
          <a:extLst>
            <a:ext uri="{FF2B5EF4-FFF2-40B4-BE49-F238E27FC236}">
              <a16:creationId xmlns:a16="http://schemas.microsoft.com/office/drawing/2014/main" id="{7C551CA8-9F6A-47F3-BA97-9BCA9657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96" y="1132607"/>
          <a:ext cx="1562446" cy="106643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</xdr:colOff>
      <xdr:row>4</xdr:row>
      <xdr:rowOff>213361</xdr:rowOff>
    </xdr:from>
    <xdr:to>
      <xdr:col>0</xdr:col>
      <xdr:colOff>1711812</xdr:colOff>
      <xdr:row>4</xdr:row>
      <xdr:rowOff>990875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" y="1303021"/>
          <a:ext cx="1704193" cy="7775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</xdr:colOff>
      <xdr:row>4</xdr:row>
      <xdr:rowOff>213361</xdr:rowOff>
    </xdr:from>
    <xdr:to>
      <xdr:col>0</xdr:col>
      <xdr:colOff>1711812</xdr:colOff>
      <xdr:row>4</xdr:row>
      <xdr:rowOff>990875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0623B2-CBDE-472B-8D15-6DAA979C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" y="1327786"/>
          <a:ext cx="1681333" cy="77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12" zoomScale="55" zoomScaleNormal="55" workbookViewId="0">
      <selection activeCell="N9" sqref="N9"/>
    </sheetView>
  </sheetViews>
  <sheetFormatPr baseColWidth="10" defaultRowHeight="15" x14ac:dyDescent="0.25"/>
  <cols>
    <col min="1" max="1" width="25.7109375" customWidth="1"/>
    <col min="2" max="2" width="12.7109375" customWidth="1"/>
    <col min="3" max="3" width="60.7109375" customWidth="1"/>
    <col min="4" max="5" width="15.7109375" customWidth="1"/>
    <col min="8" max="8" width="14.42578125" customWidth="1"/>
    <col min="9" max="9" width="20.28515625" customWidth="1"/>
    <col min="10" max="10" width="15" customWidth="1"/>
    <col min="11" max="11" width="15.42578125" customWidth="1"/>
    <col min="12" max="12" width="16.7109375" customWidth="1"/>
    <col min="13" max="13" width="19.5703125" customWidth="1"/>
    <col min="14" max="14" width="19" customWidth="1"/>
    <col min="15" max="15" width="19.5703125" customWidth="1"/>
    <col min="16" max="16" width="22.28515625" customWidth="1"/>
    <col min="17" max="17" width="19.5703125" customWidth="1"/>
    <col min="18" max="18" width="19" customWidth="1"/>
    <col min="19" max="19" width="23.7109375" customWidth="1"/>
  </cols>
  <sheetData>
    <row r="1" spans="1:16" ht="42" x14ac:dyDescent="0.25">
      <c r="A1" s="318" t="s">
        <v>51</v>
      </c>
      <c r="B1" s="319"/>
      <c r="C1" s="320"/>
      <c r="D1" s="11" t="s">
        <v>12</v>
      </c>
      <c r="E1" s="18" t="s">
        <v>373</v>
      </c>
      <c r="F1" s="18" t="s">
        <v>374</v>
      </c>
    </row>
    <row r="2" spans="1:16" x14ac:dyDescent="0.25">
      <c r="A2" s="12" t="s">
        <v>39</v>
      </c>
      <c r="B2" s="17" t="s">
        <v>375</v>
      </c>
      <c r="C2" s="7"/>
      <c r="D2" s="7"/>
      <c r="E2" s="8"/>
      <c r="F2" s="8"/>
    </row>
    <row r="3" spans="1:16" x14ac:dyDescent="0.25">
      <c r="A3" s="158" t="s">
        <v>38</v>
      </c>
      <c r="B3" s="17" t="s">
        <v>376</v>
      </c>
      <c r="C3" s="7"/>
      <c r="D3" s="7"/>
      <c r="E3" s="8"/>
      <c r="F3" s="8"/>
    </row>
    <row r="4" spans="1:16" ht="15.75" thickBot="1" x14ac:dyDescent="0.3">
      <c r="A4" s="3" t="s">
        <v>16</v>
      </c>
      <c r="B4" s="23" t="s">
        <v>376</v>
      </c>
      <c r="C4" s="9"/>
      <c r="D4" s="9"/>
      <c r="E4" s="10"/>
      <c r="F4" s="10"/>
    </row>
    <row r="5" spans="1:16" ht="90" customHeight="1" x14ac:dyDescent="0.25">
      <c r="A5" s="1"/>
      <c r="B5" s="22" t="s">
        <v>17</v>
      </c>
      <c r="C5" s="22" t="s">
        <v>37</v>
      </c>
      <c r="D5" s="19" t="s">
        <v>18</v>
      </c>
      <c r="E5" s="20" t="s">
        <v>50</v>
      </c>
      <c r="F5" s="20" t="s">
        <v>50</v>
      </c>
    </row>
    <row r="6" spans="1:16" ht="30" x14ac:dyDescent="0.25">
      <c r="A6" s="21" t="s">
        <v>19</v>
      </c>
      <c r="B6" s="29" t="s">
        <v>14</v>
      </c>
      <c r="C6" s="4" t="s">
        <v>53</v>
      </c>
      <c r="D6" s="5" t="s">
        <v>34</v>
      </c>
      <c r="E6" s="6" t="s">
        <v>34</v>
      </c>
      <c r="F6" s="6" t="s">
        <v>34</v>
      </c>
    </row>
    <row r="7" spans="1:16" ht="30" x14ac:dyDescent="0.25">
      <c r="A7" s="21" t="s">
        <v>20</v>
      </c>
      <c r="B7" s="29" t="s">
        <v>8</v>
      </c>
      <c r="C7" s="4" t="s">
        <v>48</v>
      </c>
      <c r="D7" s="5">
        <v>25</v>
      </c>
      <c r="E7" s="6">
        <v>3</v>
      </c>
      <c r="F7" s="6">
        <v>3</v>
      </c>
    </row>
    <row r="8" spans="1:16" ht="60" x14ac:dyDescent="0.25">
      <c r="A8" s="21" t="s">
        <v>21</v>
      </c>
      <c r="B8" s="13" t="s">
        <v>9</v>
      </c>
      <c r="C8" s="4" t="s">
        <v>74</v>
      </c>
      <c r="D8" s="5">
        <v>100</v>
      </c>
      <c r="E8" s="16">
        <f>D26</f>
        <v>7.4733000000000001</v>
      </c>
      <c r="F8" s="16">
        <f>E26</f>
        <v>7.6732999999999993</v>
      </c>
      <c r="I8" s="5" t="s">
        <v>377</v>
      </c>
      <c r="J8" s="5">
        <v>76.5</v>
      </c>
      <c r="K8" s="5">
        <v>100.5</v>
      </c>
    </row>
    <row r="9" spans="1:16" ht="75.75" thickBot="1" x14ac:dyDescent="0.3">
      <c r="A9" s="21" t="s">
        <v>22</v>
      </c>
      <c r="B9" s="13" t="s">
        <v>10</v>
      </c>
      <c r="C9" s="4" t="s">
        <v>378</v>
      </c>
      <c r="D9" s="5">
        <v>100</v>
      </c>
      <c r="E9" s="16">
        <f>H26</f>
        <v>7.6733000000000002</v>
      </c>
      <c r="F9" s="16">
        <f>I26</f>
        <v>7.8733000000000004</v>
      </c>
      <c r="I9" s="5" t="s">
        <v>379</v>
      </c>
      <c r="J9" s="5">
        <f>J8+6</f>
        <v>82.5</v>
      </c>
      <c r="K9" s="5">
        <f>K8+6</f>
        <v>106.5</v>
      </c>
    </row>
    <row r="10" spans="1:16" ht="90.75" thickBot="1" x14ac:dyDescent="0.3">
      <c r="A10" s="21" t="s">
        <v>23</v>
      </c>
      <c r="B10" s="13" t="s">
        <v>6</v>
      </c>
      <c r="C10" s="4" t="s">
        <v>75</v>
      </c>
      <c r="D10" s="5">
        <v>25</v>
      </c>
      <c r="E10" s="6">
        <v>5</v>
      </c>
      <c r="F10" s="6">
        <v>5</v>
      </c>
      <c r="I10" s="245" t="s">
        <v>380</v>
      </c>
      <c r="J10" s="246">
        <f>6000/J9</f>
        <v>72.727272727272734</v>
      </c>
      <c r="K10" s="247">
        <f>6000/K9</f>
        <v>56.338028169014088</v>
      </c>
      <c r="L10" s="248" t="s">
        <v>381</v>
      </c>
    </row>
    <row r="11" spans="1:16" ht="30" x14ac:dyDescent="0.25">
      <c r="A11" s="21" t="s">
        <v>24</v>
      </c>
      <c r="B11" s="13" t="s">
        <v>1</v>
      </c>
      <c r="C11" s="4" t="s">
        <v>56</v>
      </c>
      <c r="D11" s="5">
        <v>10</v>
      </c>
      <c r="E11" s="6">
        <v>3</v>
      </c>
      <c r="F11" s="6">
        <v>3</v>
      </c>
    </row>
    <row r="12" spans="1:16" ht="45.75" thickBot="1" x14ac:dyDescent="0.3">
      <c r="A12" s="21" t="s">
        <v>25</v>
      </c>
      <c r="B12" s="13" t="s">
        <v>11</v>
      </c>
      <c r="C12" s="4" t="s">
        <v>44</v>
      </c>
      <c r="D12" s="5">
        <v>0</v>
      </c>
      <c r="E12" s="161">
        <f>200/72</f>
        <v>2.7777777777777777</v>
      </c>
      <c r="F12" s="16">
        <v>3.57</v>
      </c>
      <c r="J12" t="s">
        <v>362</v>
      </c>
      <c r="K12" t="s">
        <v>363</v>
      </c>
    </row>
    <row r="13" spans="1:16" ht="30.75" thickBot="1" x14ac:dyDescent="0.3">
      <c r="A13" s="24" t="s">
        <v>26</v>
      </c>
      <c r="B13" s="25" t="s">
        <v>15</v>
      </c>
      <c r="C13" s="26" t="s">
        <v>54</v>
      </c>
      <c r="D13" s="27" t="s">
        <v>34</v>
      </c>
      <c r="E13" s="28" t="s">
        <v>34</v>
      </c>
      <c r="F13" s="28" t="s">
        <v>34</v>
      </c>
      <c r="I13" s="249" t="s">
        <v>382</v>
      </c>
      <c r="J13" s="250">
        <f>E7+E8+E9+E10+E11+E12</f>
        <v>28.924377777777778</v>
      </c>
      <c r="K13" s="251">
        <f>F7+F8+F9+F10+F11+F12</f>
        <v>30.116599999999998</v>
      </c>
    </row>
    <row r="14" spans="1:16" ht="23.25" x14ac:dyDescent="0.35">
      <c r="A14" s="321"/>
      <c r="B14" s="322"/>
      <c r="C14" s="322"/>
      <c r="D14" s="322"/>
      <c r="E14" s="322"/>
      <c r="N14" t="s">
        <v>421</v>
      </c>
      <c r="O14" t="s">
        <v>422</v>
      </c>
      <c r="P14" t="s">
        <v>423</v>
      </c>
    </row>
    <row r="15" spans="1:16" x14ac:dyDescent="0.25">
      <c r="O15">
        <f>72*2</f>
        <v>144</v>
      </c>
      <c r="P15">
        <f>56*2</f>
        <v>112</v>
      </c>
    </row>
    <row r="18" spans="3:9" x14ac:dyDescent="0.25">
      <c r="C18" s="252" t="s">
        <v>383</v>
      </c>
      <c r="D18" s="47" t="s">
        <v>384</v>
      </c>
      <c r="E18" s="47" t="s">
        <v>385</v>
      </c>
      <c r="G18" s="252" t="s">
        <v>386</v>
      </c>
      <c r="H18" s="47" t="s">
        <v>384</v>
      </c>
      <c r="I18" s="47" t="s">
        <v>385</v>
      </c>
    </row>
    <row r="19" spans="3:9" x14ac:dyDescent="0.25">
      <c r="C19" s="223" t="s">
        <v>231</v>
      </c>
      <c r="D19" s="47">
        <v>0.25</v>
      </c>
      <c r="E19" s="47">
        <v>0.25</v>
      </c>
      <c r="G19" s="223" t="s">
        <v>231</v>
      </c>
      <c r="H19" s="47">
        <v>0.25</v>
      </c>
      <c r="I19" s="47">
        <v>0.25</v>
      </c>
    </row>
    <row r="20" spans="3:9" x14ac:dyDescent="0.25">
      <c r="C20" s="47" t="s">
        <v>387</v>
      </c>
      <c r="D20" s="47">
        <v>0.42</v>
      </c>
      <c r="E20" s="47">
        <v>0.42</v>
      </c>
      <c r="G20" s="47" t="s">
        <v>387</v>
      </c>
      <c r="H20" s="47">
        <v>0.42</v>
      </c>
      <c r="I20" s="47">
        <v>0.42</v>
      </c>
    </row>
    <row r="21" spans="3:9" x14ac:dyDescent="0.25">
      <c r="C21" s="223" t="s">
        <v>332</v>
      </c>
      <c r="D21" s="47">
        <v>0.5</v>
      </c>
      <c r="E21" s="47">
        <v>0.5</v>
      </c>
      <c r="G21" s="223" t="s">
        <v>332</v>
      </c>
      <c r="H21" s="47">
        <v>0.5</v>
      </c>
      <c r="I21" s="47">
        <v>0.5</v>
      </c>
    </row>
    <row r="22" spans="3:9" x14ac:dyDescent="0.25">
      <c r="C22" s="223" t="s">
        <v>388</v>
      </c>
      <c r="D22" s="47">
        <v>0.48330000000000001</v>
      </c>
      <c r="E22" s="47">
        <v>0.63329999999999997</v>
      </c>
      <c r="G22" s="223" t="s">
        <v>388</v>
      </c>
      <c r="H22" s="47">
        <v>0.48330000000000001</v>
      </c>
      <c r="I22" s="47">
        <v>0.63329999999999997</v>
      </c>
    </row>
    <row r="23" spans="3:9" x14ac:dyDescent="0.25">
      <c r="C23" s="223" t="s">
        <v>341</v>
      </c>
      <c r="D23" s="47">
        <v>0.56999999999999995</v>
      </c>
      <c r="E23" s="47">
        <v>0.56999999999999995</v>
      </c>
      <c r="G23" s="223" t="s">
        <v>341</v>
      </c>
      <c r="H23" s="47">
        <v>0.56999999999999995</v>
      </c>
      <c r="I23" s="47">
        <v>0.56999999999999995</v>
      </c>
    </row>
    <row r="24" spans="3:9" x14ac:dyDescent="0.25">
      <c r="C24" s="223" t="s">
        <v>389</v>
      </c>
      <c r="D24" s="47">
        <v>5</v>
      </c>
      <c r="E24" s="47">
        <v>5.05</v>
      </c>
      <c r="G24" s="223" t="s">
        <v>389</v>
      </c>
      <c r="H24" s="47">
        <v>5.2</v>
      </c>
      <c r="I24" s="47">
        <v>5.25</v>
      </c>
    </row>
    <row r="25" spans="3:9" x14ac:dyDescent="0.25">
      <c r="C25" s="223" t="s">
        <v>390</v>
      </c>
      <c r="D25" s="47">
        <v>0.25</v>
      </c>
      <c r="E25" s="47">
        <v>0.25</v>
      </c>
      <c r="G25" s="223" t="s">
        <v>390</v>
      </c>
      <c r="H25" s="47">
        <v>0.25</v>
      </c>
      <c r="I25" s="47">
        <v>0.25</v>
      </c>
    </row>
    <row r="26" spans="3:9" x14ac:dyDescent="0.25">
      <c r="C26" s="47"/>
      <c r="D26" s="47">
        <f>D19+D20+D21+D22+D23+D24+D25</f>
        <v>7.4733000000000001</v>
      </c>
      <c r="E26" s="47">
        <f>E19+E20+E21+E22+E23+E24+E25</f>
        <v>7.6732999999999993</v>
      </c>
      <c r="G26" s="47"/>
      <c r="H26" s="47">
        <f>H19+H20+H21+H22+H23+H24+H25</f>
        <v>7.6733000000000002</v>
      </c>
      <c r="I26" s="47">
        <f>I19+I20+I21+I22+I23+I24+I25</f>
        <v>7.8733000000000004</v>
      </c>
    </row>
    <row r="32" spans="3:9" ht="87.75" x14ac:dyDescent="0.25">
      <c r="C32" s="253" t="s">
        <v>391</v>
      </c>
      <c r="D32" s="253"/>
    </row>
    <row r="33" spans="3:19" ht="87.75" x14ac:dyDescent="0.25">
      <c r="C33" s="253" t="s">
        <v>392</v>
      </c>
      <c r="D33" s="253"/>
    </row>
    <row r="34" spans="3:19" ht="88.5" thickBot="1" x14ac:dyDescent="0.3">
      <c r="C34" s="254" t="s">
        <v>393</v>
      </c>
      <c r="D34" s="254" t="s">
        <v>394</v>
      </c>
    </row>
    <row r="35" spans="3:19" x14ac:dyDescent="0.25">
      <c r="K35" s="323" t="s">
        <v>132</v>
      </c>
      <c r="L35" s="324"/>
      <c r="M35" s="324"/>
      <c r="N35" s="324"/>
      <c r="O35" s="324"/>
      <c r="P35" s="324"/>
      <c r="Q35" s="327" t="s">
        <v>136</v>
      </c>
      <c r="R35" s="324">
        <v>2</v>
      </c>
      <c r="S35" s="316"/>
    </row>
    <row r="36" spans="3:19" ht="15.75" thickBot="1" x14ac:dyDescent="0.3">
      <c r="K36" s="325"/>
      <c r="L36" s="326"/>
      <c r="M36" s="326"/>
      <c r="N36" s="326"/>
      <c r="O36" s="326"/>
      <c r="P36" s="326"/>
      <c r="Q36" s="328"/>
      <c r="R36" s="326"/>
      <c r="S36" s="317"/>
    </row>
    <row r="37" spans="3:19" ht="93.75" thickBot="1" x14ac:dyDescent="0.4">
      <c r="K37" s="74"/>
      <c r="L37" s="75" t="s">
        <v>17</v>
      </c>
      <c r="M37" s="56" t="s">
        <v>18</v>
      </c>
      <c r="N37" s="56" t="s">
        <v>135</v>
      </c>
      <c r="O37" s="56" t="s">
        <v>134</v>
      </c>
      <c r="P37" s="56" t="s">
        <v>154</v>
      </c>
      <c r="Q37" s="255" t="s">
        <v>191</v>
      </c>
      <c r="R37" s="255" t="s">
        <v>192</v>
      </c>
      <c r="S37" s="256" t="s">
        <v>181</v>
      </c>
    </row>
    <row r="38" spans="3:19" ht="24" thickBot="1" x14ac:dyDescent="0.3">
      <c r="K38" s="69" t="s">
        <v>19</v>
      </c>
      <c r="L38" s="70" t="s">
        <v>14</v>
      </c>
      <c r="M38" s="71" t="s">
        <v>34</v>
      </c>
      <c r="N38" s="71" t="s">
        <v>34</v>
      </c>
      <c r="O38" s="72" t="s">
        <v>34</v>
      </c>
      <c r="P38" s="73" t="s">
        <v>34</v>
      </c>
      <c r="Q38" s="257" t="s">
        <v>34</v>
      </c>
      <c r="R38" s="258" t="s">
        <v>34</v>
      </c>
      <c r="S38" s="259" t="s">
        <v>34</v>
      </c>
    </row>
    <row r="39" spans="3:19" ht="24" thickBot="1" x14ac:dyDescent="0.3">
      <c r="K39" s="57" t="s">
        <v>20</v>
      </c>
      <c r="L39" s="58" t="s">
        <v>8</v>
      </c>
      <c r="M39" s="59">
        <v>25</v>
      </c>
      <c r="N39" s="96">
        <f t="shared" ref="N39:O44" si="0">E7</f>
        <v>3</v>
      </c>
      <c r="O39" s="95">
        <f t="shared" si="0"/>
        <v>3</v>
      </c>
      <c r="P39" s="61">
        <f>$R$35*M39</f>
        <v>50</v>
      </c>
      <c r="Q39" s="260">
        <f>P39+N39*$O$15</f>
        <v>482</v>
      </c>
      <c r="R39" s="261">
        <f>O39*$P$15+P39</f>
        <v>386</v>
      </c>
      <c r="S39" s="262">
        <f>Q39+R39</f>
        <v>868</v>
      </c>
    </row>
    <row r="40" spans="3:19" ht="24" thickBot="1" x14ac:dyDescent="0.3">
      <c r="K40" s="57" t="s">
        <v>21</v>
      </c>
      <c r="L40" s="58" t="s">
        <v>9</v>
      </c>
      <c r="M40" s="59">
        <v>100</v>
      </c>
      <c r="N40" s="62">
        <f t="shared" si="0"/>
        <v>7.4733000000000001</v>
      </c>
      <c r="O40" s="63">
        <f t="shared" si="0"/>
        <v>7.6732999999999993</v>
      </c>
      <c r="P40" s="61">
        <f t="shared" ref="P40:P44" si="1">$R$35*M40</f>
        <v>200</v>
      </c>
      <c r="Q40" s="260">
        <f t="shared" ref="Q40:Q44" si="2">P40+N40*$O$15</f>
        <v>1276.1551999999999</v>
      </c>
      <c r="R40" s="261">
        <f t="shared" ref="R40:R44" si="3">O40*$P$15+P40</f>
        <v>1059.4096</v>
      </c>
      <c r="S40" s="262">
        <f t="shared" ref="S40:S44" si="4">Q40+R40</f>
        <v>2335.5648000000001</v>
      </c>
    </row>
    <row r="41" spans="3:19" ht="24" thickBot="1" x14ac:dyDescent="0.3">
      <c r="K41" s="57" t="s">
        <v>22</v>
      </c>
      <c r="L41" s="58" t="s">
        <v>10</v>
      </c>
      <c r="M41" s="59">
        <v>100</v>
      </c>
      <c r="N41" s="263">
        <f t="shared" si="0"/>
        <v>7.6733000000000002</v>
      </c>
      <c r="O41" s="264">
        <f t="shared" si="0"/>
        <v>7.8733000000000004</v>
      </c>
      <c r="P41" s="61">
        <f t="shared" si="1"/>
        <v>200</v>
      </c>
      <c r="Q41" s="260">
        <f t="shared" si="2"/>
        <v>1304.9552000000001</v>
      </c>
      <c r="R41" s="261">
        <f t="shared" si="3"/>
        <v>1081.8096</v>
      </c>
      <c r="S41" s="262">
        <f t="shared" si="4"/>
        <v>2386.7647999999999</v>
      </c>
    </row>
    <row r="42" spans="3:19" ht="24" thickBot="1" x14ac:dyDescent="0.3">
      <c r="K42" s="57" t="s">
        <v>23</v>
      </c>
      <c r="L42" s="58" t="s">
        <v>395</v>
      </c>
      <c r="M42" s="59">
        <v>25</v>
      </c>
      <c r="N42" s="94">
        <f t="shared" si="0"/>
        <v>5</v>
      </c>
      <c r="O42" s="95">
        <f t="shared" si="0"/>
        <v>5</v>
      </c>
      <c r="P42" s="61">
        <f t="shared" si="1"/>
        <v>50</v>
      </c>
      <c r="Q42" s="260">
        <f t="shared" si="2"/>
        <v>770</v>
      </c>
      <c r="R42" s="261">
        <f t="shared" si="3"/>
        <v>610</v>
      </c>
      <c r="S42" s="262">
        <f t="shared" si="4"/>
        <v>1380</v>
      </c>
    </row>
    <row r="43" spans="3:19" ht="24" thickBot="1" x14ac:dyDescent="0.3">
      <c r="K43" s="57" t="s">
        <v>24</v>
      </c>
      <c r="L43" s="58" t="s">
        <v>1</v>
      </c>
      <c r="M43" s="59">
        <v>10</v>
      </c>
      <c r="N43" s="94">
        <f t="shared" si="0"/>
        <v>3</v>
      </c>
      <c r="O43" s="95">
        <f t="shared" si="0"/>
        <v>3</v>
      </c>
      <c r="P43" s="61">
        <f t="shared" si="1"/>
        <v>20</v>
      </c>
      <c r="Q43" s="260">
        <f t="shared" si="2"/>
        <v>452</v>
      </c>
      <c r="R43" s="261">
        <f t="shared" si="3"/>
        <v>356</v>
      </c>
      <c r="S43" s="262">
        <f t="shared" si="4"/>
        <v>808</v>
      </c>
    </row>
    <row r="44" spans="3:19" ht="24" thickBot="1" x14ac:dyDescent="0.3">
      <c r="K44" s="64" t="s">
        <v>25</v>
      </c>
      <c r="L44" s="65" t="s">
        <v>11</v>
      </c>
      <c r="M44" s="66">
        <v>0</v>
      </c>
      <c r="N44" s="125">
        <f t="shared" si="0"/>
        <v>2.7777777777777777</v>
      </c>
      <c r="O44" s="126">
        <f t="shared" si="0"/>
        <v>3.57</v>
      </c>
      <c r="P44" s="61">
        <f t="shared" si="1"/>
        <v>0</v>
      </c>
      <c r="Q44" s="260">
        <f t="shared" si="2"/>
        <v>400</v>
      </c>
      <c r="R44" s="261">
        <f t="shared" si="3"/>
        <v>399.84</v>
      </c>
      <c r="S44" s="262">
        <f t="shared" si="4"/>
        <v>799.83999999999992</v>
      </c>
    </row>
    <row r="45" spans="3:19" ht="24" thickBot="1" x14ac:dyDescent="0.3">
      <c r="K45" s="64" t="s">
        <v>26</v>
      </c>
      <c r="L45" s="65" t="s">
        <v>15</v>
      </c>
      <c r="M45" s="66" t="s">
        <v>34</v>
      </c>
      <c r="N45" s="66" t="s">
        <v>34</v>
      </c>
      <c r="O45" s="67" t="s">
        <v>34</v>
      </c>
      <c r="P45" s="68" t="s">
        <v>34</v>
      </c>
      <c r="Q45" s="265" t="s">
        <v>34</v>
      </c>
      <c r="R45" s="266" t="s">
        <v>34</v>
      </c>
      <c r="S45" s="259" t="s">
        <v>34</v>
      </c>
    </row>
  </sheetData>
  <mergeCells count="6">
    <mergeCell ref="S35:S36"/>
    <mergeCell ref="A1:C1"/>
    <mergeCell ref="A14:E14"/>
    <mergeCell ref="K35:P36"/>
    <mergeCell ref="Q35:Q36"/>
    <mergeCell ref="R35:R3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33A2-15E4-4FFE-8806-2406DE3B85E9}">
  <dimension ref="A2:R34"/>
  <sheetViews>
    <sheetView tabSelected="1" zoomScale="85" zoomScaleNormal="85" workbookViewId="0">
      <selection activeCell="N30" sqref="N30"/>
    </sheetView>
  </sheetViews>
  <sheetFormatPr baseColWidth="10" defaultRowHeight="15" x14ac:dyDescent="0.25"/>
  <cols>
    <col min="1" max="1" width="24.7109375" bestFit="1" customWidth="1"/>
    <col min="2" max="2" width="34.5703125" bestFit="1" customWidth="1"/>
    <col min="3" max="3" width="11.28515625" customWidth="1"/>
    <col min="4" max="6" width="11.28515625" bestFit="1" customWidth="1"/>
    <col min="7" max="7" width="11" customWidth="1"/>
    <col min="8" max="14" width="11.28515625" bestFit="1" customWidth="1"/>
    <col min="16" max="16" width="29.42578125" bestFit="1" customWidth="1"/>
    <col min="17" max="17" width="5.42578125" customWidth="1"/>
    <col min="18" max="18" width="4.140625" customWidth="1"/>
  </cols>
  <sheetData>
    <row r="2" spans="1:16" ht="15.75" thickBot="1" x14ac:dyDescent="0.3"/>
    <row r="3" spans="1:16" ht="16.5" thickTop="1" thickBot="1" x14ac:dyDescent="0.3">
      <c r="A3" s="127"/>
      <c r="B3" s="375" t="s">
        <v>8</v>
      </c>
      <c r="C3" s="128" t="s">
        <v>9</v>
      </c>
      <c r="D3" s="375" t="s">
        <v>10</v>
      </c>
      <c r="E3" s="128" t="s">
        <v>6</v>
      </c>
      <c r="F3" s="375" t="s">
        <v>7</v>
      </c>
      <c r="G3" s="128" t="s">
        <v>1</v>
      </c>
      <c r="H3" s="375" t="s">
        <v>11</v>
      </c>
      <c r="I3" s="128" t="s">
        <v>2</v>
      </c>
      <c r="J3" s="375" t="s">
        <v>3</v>
      </c>
      <c r="K3" s="128" t="s">
        <v>4</v>
      </c>
      <c r="L3" s="392" t="s">
        <v>5</v>
      </c>
      <c r="M3" s="129" t="s">
        <v>71</v>
      </c>
      <c r="N3" s="398" t="s">
        <v>0</v>
      </c>
    </row>
    <row r="4" spans="1:16" ht="24" thickBot="1" x14ac:dyDescent="0.3">
      <c r="A4" s="38"/>
      <c r="B4" s="376" t="s">
        <v>194</v>
      </c>
      <c r="C4" s="383" t="s">
        <v>194</v>
      </c>
      <c r="D4" s="383" t="s">
        <v>194</v>
      </c>
      <c r="E4" s="383" t="s">
        <v>194</v>
      </c>
      <c r="F4" s="383" t="s">
        <v>194</v>
      </c>
      <c r="G4" s="383" t="s">
        <v>194</v>
      </c>
      <c r="H4" s="383" t="s">
        <v>194</v>
      </c>
      <c r="I4" s="383" t="s">
        <v>194</v>
      </c>
      <c r="J4" s="383" t="s">
        <v>194</v>
      </c>
      <c r="K4" s="384" t="s">
        <v>194</v>
      </c>
      <c r="L4" s="385" t="s">
        <v>194</v>
      </c>
      <c r="M4" s="384" t="s">
        <v>194</v>
      </c>
      <c r="N4" s="386" t="s">
        <v>194</v>
      </c>
      <c r="P4" s="368" t="s">
        <v>195</v>
      </c>
    </row>
    <row r="5" spans="1:16" ht="21" x14ac:dyDescent="0.25">
      <c r="A5" s="130" t="s">
        <v>196</v>
      </c>
      <c r="B5" s="377">
        <f>'4-Bras de Manivelle'!AD26</f>
        <v>944</v>
      </c>
      <c r="C5" s="131">
        <f>'1-Moyeu'!S40</f>
        <v>2335.5648000000001</v>
      </c>
      <c r="D5" s="387">
        <f>'1-Moyeu'!S41</f>
        <v>2386.7647999999999</v>
      </c>
      <c r="E5" s="132">
        <f>'1-Moyeu'!S42</f>
        <v>1380</v>
      </c>
      <c r="F5" s="388"/>
      <c r="G5" s="132">
        <f>'1-Moyeu'!S43</f>
        <v>808</v>
      </c>
      <c r="H5" s="387">
        <f>'1-Moyeu'!S44</f>
        <v>799.83999999999992</v>
      </c>
      <c r="I5" s="133"/>
      <c r="J5" s="388"/>
      <c r="K5" s="134"/>
      <c r="L5" s="393"/>
      <c r="M5" s="134"/>
      <c r="N5" s="378"/>
      <c r="P5" s="369"/>
    </row>
    <row r="6" spans="1:16" ht="21" x14ac:dyDescent="0.25">
      <c r="A6" s="130" t="s">
        <v>197</v>
      </c>
      <c r="B6" s="378"/>
      <c r="C6" s="135"/>
      <c r="D6" s="388"/>
      <c r="E6" s="133"/>
      <c r="F6" s="387">
        <f>'2-Chappe'!I47</f>
        <v>514</v>
      </c>
      <c r="G6" s="133"/>
      <c r="H6" s="387">
        <f>'2-Chappe'!I49</f>
        <v>760</v>
      </c>
      <c r="I6" s="132">
        <f>'2-Chappe'!I46</f>
        <v>206.01999999999998</v>
      </c>
      <c r="J6" s="388"/>
      <c r="K6" s="134"/>
      <c r="L6" s="393"/>
      <c r="M6" s="136">
        <f>'2-Chappe'!I48</f>
        <v>708.88</v>
      </c>
      <c r="N6" s="378"/>
      <c r="P6" s="369"/>
    </row>
    <row r="7" spans="1:16" ht="21" x14ac:dyDescent="0.25">
      <c r="A7" s="130" t="s">
        <v>198</v>
      </c>
      <c r="B7" s="378"/>
      <c r="C7" s="135"/>
      <c r="D7" s="388"/>
      <c r="E7" s="132">
        <f>'3-Flasque droit'!X12</f>
        <v>1433.2222222222222</v>
      </c>
      <c r="F7" s="388"/>
      <c r="G7" s="133"/>
      <c r="H7" s="387">
        <f>'3-Flasque droit'!X13</f>
        <v>400</v>
      </c>
      <c r="I7" s="132">
        <f>'3-Flasque droit'!X9</f>
        <v>502.94666666666666</v>
      </c>
      <c r="J7" s="387">
        <f>'3-Flasque droit'!X10</f>
        <v>844</v>
      </c>
      <c r="K7" s="136">
        <f>'3-Flasque droit'!X11</f>
        <v>2955.4444444444443</v>
      </c>
      <c r="L7" s="393"/>
      <c r="M7" s="134"/>
      <c r="N7" s="378"/>
      <c r="P7" s="369"/>
    </row>
    <row r="8" spans="1:16" ht="21" x14ac:dyDescent="0.25">
      <c r="A8" s="130" t="s">
        <v>199</v>
      </c>
      <c r="B8" s="379">
        <f>'4-Bras de Manivelle'!AD26</f>
        <v>944</v>
      </c>
      <c r="C8" s="135"/>
      <c r="D8" s="388"/>
      <c r="E8" s="133"/>
      <c r="F8" s="387">
        <f>'4-Bras de Manivelle'!AD27</f>
        <v>1028.4000000000001</v>
      </c>
      <c r="G8" s="132">
        <f>'4-Bras de Manivelle'!AD28</f>
        <v>1666</v>
      </c>
      <c r="H8" s="387">
        <f>'4-Bras de Manivelle'!AD31</f>
        <v>3014.2857142857142</v>
      </c>
      <c r="I8" s="133"/>
      <c r="J8" s="388"/>
      <c r="K8" s="134"/>
      <c r="L8" s="394">
        <f>'4-Bras de Manivelle'!AD28</f>
        <v>1666</v>
      </c>
      <c r="M8" s="136">
        <f>'4-Bras de Manivelle'!AD30</f>
        <v>1517</v>
      </c>
      <c r="N8" s="379"/>
      <c r="P8" s="369"/>
    </row>
    <row r="9" spans="1:16" ht="21" x14ac:dyDescent="0.25">
      <c r="A9" s="130" t="s">
        <v>200</v>
      </c>
      <c r="B9" s="380">
        <f>'5-Entretoise'!I47</f>
        <v>605</v>
      </c>
      <c r="C9" s="137">
        <f>'5-Entretoise'!I48</f>
        <v>2660</v>
      </c>
      <c r="D9" s="389">
        <f>'5-Entretoise'!I49</f>
        <v>2660</v>
      </c>
      <c r="E9" s="138"/>
      <c r="F9" s="390"/>
      <c r="G9" s="139">
        <f>'5-Entretoise'!I50</f>
        <v>1490</v>
      </c>
      <c r="H9" s="389">
        <f>'5-Entretoise'!I51</f>
        <v>500</v>
      </c>
      <c r="I9" s="138"/>
      <c r="J9" s="390"/>
      <c r="K9" s="140"/>
      <c r="L9" s="395"/>
      <c r="M9" s="140"/>
      <c r="N9" s="381"/>
      <c r="P9" s="369"/>
    </row>
    <row r="10" spans="1:16" ht="21" x14ac:dyDescent="0.25">
      <c r="A10" s="130" t="s">
        <v>201</v>
      </c>
      <c r="B10" s="380">
        <f>'6-Entretoise épaulée'!I47</f>
        <v>605</v>
      </c>
      <c r="C10" s="137">
        <f>'6-Entretoise épaulée'!I48</f>
        <v>3140</v>
      </c>
      <c r="D10" s="389">
        <f>'6-Entretoise épaulée'!I49</f>
        <v>2660</v>
      </c>
      <c r="E10" s="138"/>
      <c r="F10" s="390"/>
      <c r="G10" s="139">
        <f>'6-Entretoise épaulée'!I50</f>
        <v>1490</v>
      </c>
      <c r="H10" s="389">
        <f>'6-Entretoise épaulée'!I51</f>
        <v>500</v>
      </c>
      <c r="I10" s="138"/>
      <c r="J10" s="390"/>
      <c r="K10" s="140"/>
      <c r="L10" s="395"/>
      <c r="M10" s="140"/>
      <c r="N10" s="381"/>
      <c r="P10" s="369"/>
    </row>
    <row r="11" spans="1:16" ht="21" x14ac:dyDescent="0.25">
      <c r="A11" s="130" t="s">
        <v>202</v>
      </c>
      <c r="B11" s="380">
        <f>'7-Axe manivelle'!W11</f>
        <v>1160.071533382245</v>
      </c>
      <c r="C11" s="137">
        <f>'7-Axe manivelle'!W12</f>
        <v>1376.6861335289802</v>
      </c>
      <c r="D11" s="389">
        <f>'7-Axe manivelle'!W13</f>
        <v>793.75613352898017</v>
      </c>
      <c r="E11" s="138"/>
      <c r="F11" s="390"/>
      <c r="G11" s="139">
        <f>'7-Axe manivelle'!W15</f>
        <v>1308.028613352898</v>
      </c>
      <c r="H11" s="389">
        <f>'7-Axe manivelle'!W16</f>
        <v>850.5</v>
      </c>
      <c r="I11" s="138"/>
      <c r="J11" s="390"/>
      <c r="K11" s="140"/>
      <c r="L11" s="396">
        <f>'7-Axe manivelle'!W14</f>
        <v>1160.071533382245</v>
      </c>
      <c r="M11" s="140"/>
      <c r="N11" s="380"/>
      <c r="P11" s="369"/>
    </row>
    <row r="12" spans="1:16" ht="21" x14ac:dyDescent="0.25">
      <c r="A12" s="130" t="s">
        <v>203</v>
      </c>
      <c r="B12" s="381">
        <f>'8-Bande tôle'!O15</f>
        <v>356</v>
      </c>
      <c r="C12" s="141"/>
      <c r="D12" s="390"/>
      <c r="E12" s="138"/>
      <c r="F12" s="390"/>
      <c r="G12" s="138"/>
      <c r="H12" s="390"/>
      <c r="I12" s="139"/>
      <c r="J12" s="390"/>
      <c r="K12" s="140"/>
      <c r="L12" s="395"/>
      <c r="M12" s="140"/>
      <c r="N12" s="381"/>
      <c r="P12" s="369"/>
    </row>
    <row r="13" spans="1:16" ht="21.75" thickBot="1" x14ac:dyDescent="0.3">
      <c r="A13" s="130" t="s">
        <v>204</v>
      </c>
      <c r="B13" s="382"/>
      <c r="C13" s="142"/>
      <c r="D13" s="391"/>
      <c r="E13" s="143"/>
      <c r="F13" s="391"/>
      <c r="G13" s="143"/>
      <c r="H13" s="391"/>
      <c r="I13" s="143"/>
      <c r="J13" s="391"/>
      <c r="K13" s="144"/>
      <c r="L13" s="397"/>
      <c r="M13" s="145"/>
      <c r="N13" s="399">
        <f>'9-Treuil'!S13</f>
        <v>5275</v>
      </c>
      <c r="P13" s="370"/>
    </row>
    <row r="14" spans="1:16" ht="15.75" thickBot="1" x14ac:dyDescent="0.3"/>
    <row r="15" spans="1:16" ht="21.75" thickBot="1" x14ac:dyDescent="0.3">
      <c r="A15" s="146" t="s">
        <v>205</v>
      </c>
      <c r="B15" s="147">
        <f>SUM(B5:B13)/100</f>
        <v>46.140715333822442</v>
      </c>
      <c r="C15" s="147">
        <f>SUM(C5:C13)/100</f>
        <v>95.122509335289791</v>
      </c>
      <c r="D15" s="147">
        <f t="shared" ref="D15:N15" si="0">SUM(D5:D13)/100</f>
        <v>85.005209335289805</v>
      </c>
      <c r="E15" s="147">
        <f t="shared" si="0"/>
        <v>28.132222222222222</v>
      </c>
      <c r="F15" s="147">
        <f t="shared" si="0"/>
        <v>15.424000000000001</v>
      </c>
      <c r="G15" s="147">
        <f t="shared" si="0"/>
        <v>67.620286133528978</v>
      </c>
      <c r="H15" s="147">
        <f t="shared" si="0"/>
        <v>68.246257142857132</v>
      </c>
      <c r="I15" s="147">
        <f t="shared" si="0"/>
        <v>7.089666666666667</v>
      </c>
      <c r="J15" s="147">
        <f t="shared" si="0"/>
        <v>8.44</v>
      </c>
      <c r="K15" s="147">
        <f t="shared" si="0"/>
        <v>29.554444444444442</v>
      </c>
      <c r="L15" s="147">
        <f t="shared" si="0"/>
        <v>28.26071533382245</v>
      </c>
      <c r="M15" s="147">
        <f t="shared" si="0"/>
        <v>22.258800000000001</v>
      </c>
      <c r="N15" s="147">
        <f t="shared" si="0"/>
        <v>52.75</v>
      </c>
      <c r="P15" s="148" t="s">
        <v>206</v>
      </c>
    </row>
    <row r="16" spans="1:16" ht="15.75" thickBot="1" x14ac:dyDescent="0.3"/>
    <row r="17" spans="1:18" ht="21.75" thickBot="1" x14ac:dyDescent="0.3">
      <c r="A17" s="146" t="s">
        <v>207</v>
      </c>
      <c r="B17" s="149">
        <f>(B15/$Q$22)</f>
        <v>1.3183061523949269</v>
      </c>
      <c r="C17" s="149">
        <f>(C15/$Q$22)</f>
        <v>2.7177859810082796</v>
      </c>
      <c r="D17" s="149">
        <f t="shared" ref="D17:N17" si="1">(D15/$Q$22)</f>
        <v>2.428720266722566</v>
      </c>
      <c r="E17" s="149">
        <f t="shared" si="1"/>
        <v>0.80377777777777781</v>
      </c>
      <c r="F17" s="149">
        <f t="shared" si="1"/>
        <v>0.44068571428571435</v>
      </c>
      <c r="G17" s="149">
        <f t="shared" si="1"/>
        <v>1.9320081752436851</v>
      </c>
      <c r="H17" s="149">
        <f t="shared" si="1"/>
        <v>1.9498930612244896</v>
      </c>
      <c r="I17" s="149">
        <f t="shared" si="1"/>
        <v>0.20256190476190478</v>
      </c>
      <c r="J17" s="149">
        <f t="shared" si="1"/>
        <v>0.24114285714285713</v>
      </c>
      <c r="K17" s="149">
        <f t="shared" si="1"/>
        <v>0.84441269841269839</v>
      </c>
      <c r="L17" s="149">
        <f t="shared" si="1"/>
        <v>0.80744900953778431</v>
      </c>
      <c r="M17" s="149">
        <f t="shared" si="1"/>
        <v>0.63596571428571436</v>
      </c>
      <c r="N17" s="150">
        <f t="shared" si="1"/>
        <v>1.5071428571428571</v>
      </c>
    </row>
    <row r="19" spans="1:18" x14ac:dyDescent="0.25">
      <c r="P19" s="151" t="s">
        <v>208</v>
      </c>
      <c r="Q19" s="152">
        <v>60</v>
      </c>
    </row>
    <row r="20" spans="1:18" x14ac:dyDescent="0.25">
      <c r="P20" s="151" t="s">
        <v>209</v>
      </c>
      <c r="Q20" s="152" t="s">
        <v>210</v>
      </c>
    </row>
    <row r="21" spans="1:18" ht="18.75" x14ac:dyDescent="0.3">
      <c r="B21" s="153" t="s">
        <v>424</v>
      </c>
      <c r="C21" s="371" t="s">
        <v>425</v>
      </c>
      <c r="D21" s="372"/>
      <c r="P21" s="151" t="s">
        <v>211</v>
      </c>
      <c r="Q21" s="152">
        <v>7</v>
      </c>
      <c r="R21" s="47" t="s">
        <v>212</v>
      </c>
    </row>
    <row r="22" spans="1:18" ht="15.75" x14ac:dyDescent="0.25">
      <c r="B22" s="154" t="s">
        <v>8</v>
      </c>
      <c r="C22" s="373">
        <f>ROUNDUP($B$17,0)</f>
        <v>2</v>
      </c>
      <c r="D22" s="374"/>
      <c r="P22" s="151" t="s">
        <v>213</v>
      </c>
      <c r="Q22" s="155">
        <v>35</v>
      </c>
      <c r="R22" s="47" t="s">
        <v>212</v>
      </c>
    </row>
    <row r="23" spans="1:18" ht="15.75" x14ac:dyDescent="0.25">
      <c r="B23" s="154" t="s">
        <v>9</v>
      </c>
      <c r="C23" s="373">
        <f>ROUNDUP($C$17,0)</f>
        <v>3</v>
      </c>
      <c r="D23" s="374"/>
      <c r="P23" s="151" t="s">
        <v>214</v>
      </c>
      <c r="Q23" s="152">
        <f>(Q19*Q21)</f>
        <v>420</v>
      </c>
      <c r="R23" s="47" t="s">
        <v>212</v>
      </c>
    </row>
    <row r="24" spans="1:18" ht="15.75" x14ac:dyDescent="0.25">
      <c r="B24" s="154" t="s">
        <v>10</v>
      </c>
      <c r="C24" s="373">
        <f>ROUNDUP($D$17,0)</f>
        <v>3</v>
      </c>
      <c r="D24" s="374"/>
    </row>
    <row r="25" spans="1:18" ht="15.75" x14ac:dyDescent="0.25">
      <c r="B25" s="154" t="s">
        <v>6</v>
      </c>
      <c r="C25" s="373">
        <f>ROUNDUP($E$17,0)</f>
        <v>1</v>
      </c>
      <c r="D25" s="374"/>
    </row>
    <row r="26" spans="1:18" ht="15.75" x14ac:dyDescent="0.25">
      <c r="B26" s="154" t="s">
        <v>7</v>
      </c>
      <c r="C26" s="373">
        <f>ROUNDUP($F$17,0)</f>
        <v>1</v>
      </c>
      <c r="D26" s="374"/>
    </row>
    <row r="27" spans="1:18" ht="15.75" x14ac:dyDescent="0.25">
      <c r="B27" s="154" t="s">
        <v>1</v>
      </c>
      <c r="C27" s="373">
        <f>ROUNDUP($G$17,0)</f>
        <v>2</v>
      </c>
      <c r="D27" s="374"/>
    </row>
    <row r="28" spans="1:18" ht="15.75" x14ac:dyDescent="0.25">
      <c r="B28" s="154" t="s">
        <v>11</v>
      </c>
      <c r="C28" s="373">
        <f>ROUNDUP($H$17,0)</f>
        <v>2</v>
      </c>
      <c r="D28" s="374"/>
    </row>
    <row r="29" spans="1:18" ht="15.75" x14ac:dyDescent="0.25">
      <c r="B29" s="154" t="s">
        <v>2</v>
      </c>
      <c r="C29" s="373">
        <f>ROUNDUP($I$17,0)</f>
        <v>1</v>
      </c>
      <c r="D29" s="374"/>
    </row>
    <row r="30" spans="1:18" ht="15.75" x14ac:dyDescent="0.25">
      <c r="B30" s="154" t="s">
        <v>3</v>
      </c>
      <c r="C30" s="373">
        <f>ROUNDUP($J$17,0)</f>
        <v>1</v>
      </c>
      <c r="D30" s="374"/>
    </row>
    <row r="31" spans="1:18" ht="15.75" x14ac:dyDescent="0.25">
      <c r="B31" s="154" t="s">
        <v>4</v>
      </c>
      <c r="C31" s="373">
        <f>ROUNDUP($K$17,0)</f>
        <v>1</v>
      </c>
      <c r="D31" s="374"/>
    </row>
    <row r="32" spans="1:18" ht="15.75" x14ac:dyDescent="0.25">
      <c r="B32" s="154" t="s">
        <v>5</v>
      </c>
      <c r="C32" s="373">
        <f>ROUNDUP($L$17,0)</f>
        <v>1</v>
      </c>
      <c r="D32" s="374"/>
    </row>
    <row r="33" spans="2:4" ht="15.75" x14ac:dyDescent="0.25">
      <c r="B33" s="154" t="s">
        <v>71</v>
      </c>
      <c r="C33" s="373">
        <f>ROUNDUP($M$17,0)</f>
        <v>1</v>
      </c>
      <c r="D33" s="374"/>
    </row>
    <row r="34" spans="2:4" ht="15.75" x14ac:dyDescent="0.25">
      <c r="B34" s="154" t="s">
        <v>0</v>
      </c>
      <c r="C34" s="373">
        <f>ROUNDUP($N$17,0)</f>
        <v>2</v>
      </c>
      <c r="D34" s="374"/>
    </row>
  </sheetData>
  <mergeCells count="15">
    <mergeCell ref="C30:D30"/>
    <mergeCell ref="C31:D31"/>
    <mergeCell ref="C32:D32"/>
    <mergeCell ref="C33:D33"/>
    <mergeCell ref="C34:D34"/>
    <mergeCell ref="P4:P13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conditionalFormatting sqref="B17:N17">
    <cfRule type="cellIs" dxfId="1" priority="1" operator="lessThan">
      <formula>0.9</formula>
    </cfRule>
    <cfRule type="cellIs" dxfId="0" priority="2" operator="greaterThan"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8"/>
  <sheetViews>
    <sheetView topLeftCell="A11" zoomScale="55" zoomScaleNormal="55" workbookViewId="0">
      <selection activeCell="H44" sqref="H44"/>
    </sheetView>
  </sheetViews>
  <sheetFormatPr baseColWidth="10" defaultRowHeight="15" x14ac:dyDescent="0.25"/>
  <cols>
    <col min="1" max="1" width="25.7109375" customWidth="1"/>
    <col min="2" max="2" width="47.42578125" customWidth="1"/>
    <col min="3" max="3" width="60.7109375" customWidth="1"/>
    <col min="4" max="4" width="46.42578125" customWidth="1"/>
    <col min="5" max="5" width="34" customWidth="1"/>
    <col min="6" max="9" width="36.140625" customWidth="1"/>
    <col min="10" max="10" width="38.28515625" customWidth="1"/>
    <col min="11" max="11" width="44.7109375" customWidth="1"/>
    <col min="12" max="12" width="19" customWidth="1"/>
    <col min="13" max="13" width="17.85546875" customWidth="1"/>
    <col min="14" max="14" width="57.42578125" customWidth="1"/>
  </cols>
  <sheetData>
    <row r="1" spans="1:16" ht="42.75" thickBot="1" x14ac:dyDescent="0.3">
      <c r="A1" s="323" t="s">
        <v>52</v>
      </c>
      <c r="B1" s="331"/>
      <c r="C1" s="332"/>
      <c r="D1" s="11" t="s">
        <v>12</v>
      </c>
      <c r="E1" s="18" t="s">
        <v>32</v>
      </c>
    </row>
    <row r="2" spans="1:16" ht="32.25" thickBot="1" x14ac:dyDescent="0.3">
      <c r="A2" s="77"/>
      <c r="B2" s="78" t="s">
        <v>130</v>
      </c>
      <c r="C2" s="78" t="s">
        <v>137</v>
      </c>
      <c r="D2" s="55"/>
      <c r="E2" s="76"/>
    </row>
    <row r="3" spans="1:16" ht="27" thickBot="1" x14ac:dyDescent="0.45">
      <c r="A3" s="80" t="s">
        <v>39</v>
      </c>
      <c r="B3" s="79">
        <f>$A$21</f>
        <v>72</v>
      </c>
      <c r="C3" s="79">
        <f>$C$21</f>
        <v>144</v>
      </c>
      <c r="D3" s="7"/>
      <c r="E3" s="8"/>
      <c r="G3" s="329" t="s">
        <v>92</v>
      </c>
      <c r="H3" s="329"/>
      <c r="I3" s="329"/>
      <c r="K3" s="329" t="s">
        <v>106</v>
      </c>
      <c r="L3" s="329"/>
      <c r="M3" s="329"/>
    </row>
    <row r="4" spans="1:16" ht="27" thickBot="1" x14ac:dyDescent="0.45">
      <c r="A4" s="80" t="s">
        <v>38</v>
      </c>
      <c r="B4" s="79">
        <f>$A$24</f>
        <v>40</v>
      </c>
      <c r="C4" s="79">
        <f>$C$24</f>
        <v>72</v>
      </c>
      <c r="D4" s="7"/>
      <c r="E4" s="8"/>
      <c r="G4" s="329"/>
      <c r="H4" s="329"/>
      <c r="I4" s="329"/>
      <c r="K4" s="329"/>
      <c r="L4" s="329"/>
      <c r="M4" s="329"/>
    </row>
    <row r="5" spans="1:16" ht="27" thickBot="1" x14ac:dyDescent="0.45">
      <c r="A5" s="80" t="s">
        <v>16</v>
      </c>
      <c r="B5" s="79">
        <f>$A$24</f>
        <v>40</v>
      </c>
      <c r="C5" s="79">
        <f>$C$24</f>
        <v>72</v>
      </c>
      <c r="D5" s="9"/>
      <c r="E5" s="10"/>
      <c r="G5" s="45" t="s">
        <v>93</v>
      </c>
      <c r="H5" s="46">
        <v>2</v>
      </c>
      <c r="I5" s="47"/>
      <c r="K5" s="46" t="s">
        <v>102</v>
      </c>
      <c r="L5" s="46">
        <v>2E-3</v>
      </c>
      <c r="M5" s="46" t="s">
        <v>108</v>
      </c>
    </row>
    <row r="6" spans="1:16" ht="90" customHeight="1" x14ac:dyDescent="0.35">
      <c r="A6" s="93"/>
      <c r="B6" s="22" t="s">
        <v>17</v>
      </c>
      <c r="C6" s="22" t="s">
        <v>37</v>
      </c>
      <c r="D6" s="19" t="s">
        <v>18</v>
      </c>
      <c r="E6" s="20" t="s">
        <v>50</v>
      </c>
      <c r="G6" s="45" t="s">
        <v>94</v>
      </c>
      <c r="H6" s="46">
        <v>101</v>
      </c>
      <c r="I6" s="46" t="s">
        <v>100</v>
      </c>
      <c r="K6" s="46" t="s">
        <v>103</v>
      </c>
      <c r="L6" s="46">
        <v>1</v>
      </c>
      <c r="M6" s="46" t="s">
        <v>108</v>
      </c>
    </row>
    <row r="7" spans="1:16" ht="38.25" x14ac:dyDescent="0.35">
      <c r="A7" s="81" t="s">
        <v>19</v>
      </c>
      <c r="B7" s="82" t="s">
        <v>35</v>
      </c>
      <c r="C7" s="83" t="s">
        <v>141</v>
      </c>
      <c r="D7" s="84" t="s">
        <v>34</v>
      </c>
      <c r="E7" s="85" t="s">
        <v>34</v>
      </c>
      <c r="G7" s="45" t="s">
        <v>95</v>
      </c>
      <c r="H7" s="46">
        <v>77</v>
      </c>
      <c r="I7" s="46" t="s">
        <v>100</v>
      </c>
      <c r="K7" s="46" t="s">
        <v>104</v>
      </c>
      <c r="L7" s="46">
        <v>0.13</v>
      </c>
      <c r="M7" s="46" t="s">
        <v>108</v>
      </c>
    </row>
    <row r="8" spans="1:16" ht="57" x14ac:dyDescent="0.35">
      <c r="A8" s="81" t="s">
        <v>20</v>
      </c>
      <c r="B8" s="82" t="s">
        <v>2</v>
      </c>
      <c r="C8" s="83" t="s">
        <v>142</v>
      </c>
      <c r="D8" s="84">
        <v>10</v>
      </c>
      <c r="E8" s="86" t="s">
        <v>133</v>
      </c>
      <c r="G8" s="46" t="s">
        <v>96</v>
      </c>
      <c r="H8" s="46">
        <v>4</v>
      </c>
      <c r="I8" s="46" t="s">
        <v>100</v>
      </c>
      <c r="K8" s="46" t="s">
        <v>105</v>
      </c>
      <c r="L8" s="46">
        <v>7800</v>
      </c>
      <c r="M8" s="46" t="s">
        <v>109</v>
      </c>
    </row>
    <row r="9" spans="1:16" ht="38.25" x14ac:dyDescent="0.35">
      <c r="A9" s="81" t="s">
        <v>21</v>
      </c>
      <c r="B9" s="82" t="s">
        <v>7</v>
      </c>
      <c r="C9" s="83" t="s">
        <v>143</v>
      </c>
      <c r="D9" s="84">
        <v>25</v>
      </c>
      <c r="E9" s="87">
        <v>1.5</v>
      </c>
      <c r="G9" s="46" t="s">
        <v>97</v>
      </c>
      <c r="H9" s="46">
        <v>25</v>
      </c>
      <c r="I9" s="46" t="s">
        <v>100</v>
      </c>
      <c r="K9" s="46" t="s">
        <v>107</v>
      </c>
      <c r="L9" s="46">
        <f>$L$8*$L$5*$L$7*$L$6</f>
        <v>2.028</v>
      </c>
      <c r="M9" s="46" t="s">
        <v>110</v>
      </c>
    </row>
    <row r="10" spans="1:16" ht="38.25" x14ac:dyDescent="0.35">
      <c r="A10" s="81" t="s">
        <v>22</v>
      </c>
      <c r="B10" s="82" t="s">
        <v>71</v>
      </c>
      <c r="C10" s="83" t="s">
        <v>144</v>
      </c>
      <c r="D10" s="84">
        <v>10</v>
      </c>
      <c r="E10" s="86" t="s">
        <v>80</v>
      </c>
      <c r="G10" s="46" t="s">
        <v>99</v>
      </c>
      <c r="H10" s="46">
        <f>$H$9*2+$H$6-2*$H$8</f>
        <v>143</v>
      </c>
      <c r="I10" s="46" t="s">
        <v>100</v>
      </c>
      <c r="M10" s="44"/>
      <c r="N10" s="44"/>
      <c r="O10" s="44"/>
      <c r="P10" s="44"/>
    </row>
    <row r="11" spans="1:16" ht="57" x14ac:dyDescent="0.35">
      <c r="A11" s="81" t="s">
        <v>23</v>
      </c>
      <c r="B11" s="82" t="s">
        <v>11</v>
      </c>
      <c r="C11" s="83" t="s">
        <v>145</v>
      </c>
      <c r="D11" s="84">
        <v>0</v>
      </c>
      <c r="E11" s="86" t="s">
        <v>153</v>
      </c>
      <c r="G11" s="46" t="s">
        <v>98</v>
      </c>
      <c r="H11" s="46">
        <f>$H$9*2+$H$7-$H$8*2</f>
        <v>119</v>
      </c>
      <c r="I11" s="46" t="s">
        <v>100</v>
      </c>
      <c r="M11" s="44"/>
      <c r="N11" s="44"/>
      <c r="O11" s="44"/>
      <c r="P11" s="44"/>
    </row>
    <row r="12" spans="1:16" ht="39" thickBot="1" x14ac:dyDescent="0.4">
      <c r="A12" s="88" t="s">
        <v>24</v>
      </c>
      <c r="B12" s="89" t="s">
        <v>15</v>
      </c>
      <c r="C12" s="90" t="s">
        <v>146</v>
      </c>
      <c r="D12" s="91" t="s">
        <v>34</v>
      </c>
      <c r="E12" s="92" t="s">
        <v>34</v>
      </c>
      <c r="J12" s="44"/>
      <c r="K12" s="44"/>
      <c r="L12" s="44"/>
      <c r="M12" s="44"/>
    </row>
    <row r="13" spans="1:16" ht="23.45" customHeight="1" x14ac:dyDescent="0.35">
      <c r="A13" s="321" t="s">
        <v>76</v>
      </c>
      <c r="B13" s="322"/>
      <c r="C13" s="322"/>
      <c r="D13" s="322"/>
      <c r="E13" s="322"/>
      <c r="J13" s="44"/>
      <c r="K13" s="44"/>
      <c r="L13" s="44"/>
      <c r="M13" s="44"/>
    </row>
    <row r="16" spans="1:16" x14ac:dyDescent="0.25">
      <c r="A16" s="333" t="s">
        <v>91</v>
      </c>
      <c r="B16" s="333"/>
      <c r="C16" s="333"/>
      <c r="D16" s="333"/>
      <c r="K16" s="330" t="s">
        <v>127</v>
      </c>
      <c r="L16" s="330"/>
      <c r="M16" s="330"/>
    </row>
    <row r="17" spans="1:13" x14ac:dyDescent="0.25">
      <c r="A17" s="333"/>
      <c r="B17" s="333"/>
      <c r="C17" s="333"/>
      <c r="D17" s="333"/>
      <c r="K17" s="330"/>
      <c r="L17" s="330"/>
      <c r="M17" s="330"/>
    </row>
    <row r="18" spans="1:13" ht="21" x14ac:dyDescent="0.35">
      <c r="A18" s="49">
        <v>71</v>
      </c>
      <c r="B18" s="49" t="s">
        <v>81</v>
      </c>
      <c r="C18" s="49">
        <v>140</v>
      </c>
      <c r="D18" s="49" t="s">
        <v>82</v>
      </c>
      <c r="K18" s="50" t="s">
        <v>101</v>
      </c>
    </row>
    <row r="19" spans="1:13" ht="21.75" thickBot="1" x14ac:dyDescent="0.4">
      <c r="A19" s="49">
        <v>8</v>
      </c>
      <c r="B19" s="49" t="s">
        <v>83</v>
      </c>
      <c r="C19" s="49">
        <v>6</v>
      </c>
      <c r="D19" s="49" t="s">
        <v>83</v>
      </c>
      <c r="K19" s="48" t="s">
        <v>111</v>
      </c>
      <c r="L19" s="48">
        <v>0.4</v>
      </c>
      <c r="M19" s="48"/>
    </row>
    <row r="20" spans="1:13" ht="22.5" thickTop="1" thickBot="1" x14ac:dyDescent="0.4">
      <c r="A20" s="49">
        <f>ROUNDUP($A$18/$A$19,0)</f>
        <v>9</v>
      </c>
      <c r="B20" s="49" t="s">
        <v>88</v>
      </c>
      <c r="C20" s="49">
        <f>ROUNDUP($C$18/$C$19,0)</f>
        <v>24</v>
      </c>
      <c r="D20" s="49" t="s">
        <v>88</v>
      </c>
      <c r="K20" s="52" t="s">
        <v>112</v>
      </c>
      <c r="L20" s="52">
        <v>0.43</v>
      </c>
      <c r="M20" s="48"/>
    </row>
    <row r="21" spans="1:13" ht="22.5" thickTop="1" thickBot="1" x14ac:dyDescent="0.4">
      <c r="A21" s="49">
        <f>$A$19*$A$20</f>
        <v>72</v>
      </c>
      <c r="B21" s="49" t="s">
        <v>84</v>
      </c>
      <c r="C21" s="49">
        <f>$C$19*$C$20</f>
        <v>144</v>
      </c>
      <c r="D21" s="49" t="s">
        <v>85</v>
      </c>
      <c r="K21" s="52" t="s">
        <v>113</v>
      </c>
      <c r="L21" s="52">
        <v>0.12</v>
      </c>
      <c r="M21" s="48"/>
    </row>
    <row r="22" spans="1:13" ht="21.75" thickTop="1" x14ac:dyDescent="0.35">
      <c r="A22" s="49">
        <v>35</v>
      </c>
      <c r="B22" s="49" t="s">
        <v>138</v>
      </c>
      <c r="C22" s="49">
        <v>70</v>
      </c>
      <c r="D22" s="49" t="s">
        <v>139</v>
      </c>
      <c r="K22" s="48" t="s">
        <v>114</v>
      </c>
      <c r="L22" s="48">
        <v>0.3</v>
      </c>
      <c r="M22" s="48"/>
    </row>
    <row r="23" spans="1:13" ht="21" x14ac:dyDescent="0.35">
      <c r="A23" s="49">
        <f>ROUNDUP($A$22/$A$19,0)</f>
        <v>5</v>
      </c>
      <c r="B23" s="49" t="s">
        <v>88</v>
      </c>
      <c r="C23" s="49">
        <f>ROUNDUP($C$22/$C$19,0)</f>
        <v>12</v>
      </c>
      <c r="D23" s="49" t="s">
        <v>88</v>
      </c>
      <c r="K23" s="48" t="s">
        <v>115</v>
      </c>
      <c r="L23" s="48">
        <v>0.19</v>
      </c>
      <c r="M23" s="48"/>
    </row>
    <row r="24" spans="1:13" ht="21" x14ac:dyDescent="0.35">
      <c r="A24" s="49">
        <f>$A$19*$A$23</f>
        <v>40</v>
      </c>
      <c r="B24" s="49" t="s">
        <v>140</v>
      </c>
      <c r="C24" s="49">
        <f>$C$19*$C$23</f>
        <v>72</v>
      </c>
      <c r="D24" s="49" t="s">
        <v>140</v>
      </c>
      <c r="K24" s="51" t="s">
        <v>125</v>
      </c>
      <c r="L24" s="48">
        <f>($L$20+$L$21)*7+$L$19+$L$22+$L$23</f>
        <v>4.7400000000000011</v>
      </c>
      <c r="M24" s="48">
        <f>($L$20+$L$21)*5+$L$19+$L$22+$L$23</f>
        <v>3.6399999999999997</v>
      </c>
    </row>
    <row r="25" spans="1:13" ht="21" x14ac:dyDescent="0.35">
      <c r="K25" s="51" t="s">
        <v>128</v>
      </c>
      <c r="L25" s="48">
        <f>$L$24/$A$19</f>
        <v>0.59250000000000014</v>
      </c>
      <c r="M25" s="48">
        <f>$M$24/$C$19</f>
        <v>0.60666666666666658</v>
      </c>
    </row>
    <row r="26" spans="1:13" ht="21" x14ac:dyDescent="0.35">
      <c r="K26" s="50" t="s">
        <v>116</v>
      </c>
      <c r="L26" s="48"/>
      <c r="M26" s="48"/>
    </row>
    <row r="27" spans="1:13" ht="21" x14ac:dyDescent="0.35">
      <c r="K27" s="48" t="s">
        <v>111</v>
      </c>
      <c r="L27" s="48">
        <v>0.45</v>
      </c>
      <c r="M27" s="48"/>
    </row>
    <row r="28" spans="1:13" ht="21" x14ac:dyDescent="0.35">
      <c r="K28" s="48" t="s">
        <v>112</v>
      </c>
      <c r="L28" s="48">
        <v>0.48</v>
      </c>
      <c r="M28" s="48"/>
    </row>
    <row r="29" spans="1:13" ht="21" x14ac:dyDescent="0.35">
      <c r="K29" s="48" t="s">
        <v>117</v>
      </c>
      <c r="L29" s="48">
        <v>0.2</v>
      </c>
      <c r="M29" s="48"/>
    </row>
    <row r="30" spans="1:13" ht="21" x14ac:dyDescent="0.35">
      <c r="K30" s="48" t="s">
        <v>118</v>
      </c>
      <c r="L30" s="48">
        <v>0.28000000000000003</v>
      </c>
      <c r="M30" s="48"/>
    </row>
    <row r="31" spans="1:13" ht="21" x14ac:dyDescent="0.35">
      <c r="K31" s="48" t="s">
        <v>119</v>
      </c>
      <c r="L31" s="48">
        <v>0.48</v>
      </c>
      <c r="M31" s="48"/>
    </row>
    <row r="32" spans="1:13" ht="21" x14ac:dyDescent="0.35">
      <c r="K32" s="48" t="s">
        <v>120</v>
      </c>
      <c r="L32" s="48">
        <v>0.2</v>
      </c>
      <c r="M32" s="48"/>
    </row>
    <row r="33" spans="1:16" ht="21" x14ac:dyDescent="0.35">
      <c r="K33" s="48" t="s">
        <v>121</v>
      </c>
      <c r="L33" s="48">
        <v>0.28000000000000003</v>
      </c>
      <c r="M33" s="48"/>
    </row>
    <row r="34" spans="1:16" ht="21" x14ac:dyDescent="0.35">
      <c r="K34" s="48" t="s">
        <v>122</v>
      </c>
      <c r="L34" s="48">
        <v>0.34</v>
      </c>
      <c r="M34" s="48"/>
    </row>
    <row r="35" spans="1:16" ht="21" x14ac:dyDescent="0.35">
      <c r="K35" s="48" t="s">
        <v>123</v>
      </c>
      <c r="L35" s="48">
        <v>0.22</v>
      </c>
      <c r="M35" s="48"/>
    </row>
    <row r="36" spans="1:16" ht="21" x14ac:dyDescent="0.35">
      <c r="K36" s="51" t="s">
        <v>126</v>
      </c>
      <c r="L36" s="48">
        <f>SUM(L27:L35)</f>
        <v>2.93</v>
      </c>
      <c r="M36" s="48"/>
    </row>
    <row r="37" spans="1:16" ht="21" x14ac:dyDescent="0.35">
      <c r="K37" s="50" t="s">
        <v>124</v>
      </c>
      <c r="L37" s="48"/>
      <c r="M37" s="48"/>
    </row>
    <row r="38" spans="1:16" ht="21" x14ac:dyDescent="0.35">
      <c r="K38" s="48" t="s">
        <v>129</v>
      </c>
      <c r="L38" s="48"/>
      <c r="M38" s="48"/>
    </row>
    <row r="39" spans="1:16" ht="21" x14ac:dyDescent="0.35">
      <c r="K39" s="48" t="s">
        <v>130</v>
      </c>
      <c r="L39" s="48">
        <f>200/$A$24</f>
        <v>5</v>
      </c>
      <c r="M39" s="48"/>
    </row>
    <row r="40" spans="1:16" ht="21" x14ac:dyDescent="0.35">
      <c r="K40" s="48" t="s">
        <v>131</v>
      </c>
      <c r="L40" s="48">
        <f>200/$C$24</f>
        <v>2.7777777777777777</v>
      </c>
      <c r="M40" s="48"/>
    </row>
    <row r="41" spans="1:16" ht="21.75" thickBot="1" x14ac:dyDescent="0.4">
      <c r="N41" s="48"/>
      <c r="O41" s="48"/>
      <c r="P41" s="48"/>
    </row>
    <row r="42" spans="1:16" ht="31.5" customHeight="1" x14ac:dyDescent="0.35">
      <c r="A42" s="323" t="s">
        <v>132</v>
      </c>
      <c r="B42" s="324"/>
      <c r="C42" s="324"/>
      <c r="D42" s="324"/>
      <c r="E42" s="324"/>
      <c r="F42" s="324"/>
      <c r="G42" s="327" t="s">
        <v>136</v>
      </c>
      <c r="H42" s="324">
        <f>$B$3/$B$5+$C$3/$C$5</f>
        <v>3.8</v>
      </c>
      <c r="I42" s="316"/>
      <c r="M42" s="48"/>
      <c r="N42" s="48"/>
      <c r="O42" s="48"/>
    </row>
    <row r="43" spans="1:16" ht="21" customHeight="1" thickBot="1" x14ac:dyDescent="0.4">
      <c r="A43" s="325"/>
      <c r="B43" s="334"/>
      <c r="C43" s="334"/>
      <c r="D43" s="334"/>
      <c r="E43" s="334"/>
      <c r="F43" s="334"/>
      <c r="G43" s="328"/>
      <c r="H43" s="334"/>
      <c r="I43" s="317"/>
      <c r="M43" s="48"/>
      <c r="N43" s="48"/>
      <c r="O43" s="48"/>
    </row>
    <row r="44" spans="1:16" ht="69.95" customHeight="1" thickBot="1" x14ac:dyDescent="0.4">
      <c r="A44" s="74"/>
      <c r="B44" s="75" t="s">
        <v>17</v>
      </c>
      <c r="C44" s="56" t="s">
        <v>18</v>
      </c>
      <c r="D44" s="56" t="s">
        <v>135</v>
      </c>
      <c r="E44" s="56" t="s">
        <v>134</v>
      </c>
      <c r="F44" s="56" t="s">
        <v>154</v>
      </c>
      <c r="G44" s="100" t="s">
        <v>155</v>
      </c>
      <c r="H44" s="100" t="s">
        <v>156</v>
      </c>
      <c r="I44" s="118" t="s">
        <v>181</v>
      </c>
      <c r="N44" s="48"/>
      <c r="O44" s="48"/>
      <c r="P44" s="48"/>
    </row>
    <row r="45" spans="1:16" ht="50.1" customHeight="1" thickBot="1" x14ac:dyDescent="0.4">
      <c r="A45" s="69" t="s">
        <v>19</v>
      </c>
      <c r="B45" s="70" t="s">
        <v>35</v>
      </c>
      <c r="C45" s="71" t="s">
        <v>34</v>
      </c>
      <c r="D45" s="71" t="s">
        <v>34</v>
      </c>
      <c r="E45" s="72" t="s">
        <v>34</v>
      </c>
      <c r="F45" s="73" t="s">
        <v>34</v>
      </c>
      <c r="G45" s="101" t="s">
        <v>34</v>
      </c>
      <c r="H45" s="102" t="s">
        <v>34</v>
      </c>
      <c r="I45" s="119" t="s">
        <v>34</v>
      </c>
      <c r="N45" s="48"/>
      <c r="O45" s="48"/>
      <c r="P45" s="48"/>
    </row>
    <row r="46" spans="1:16" ht="50.1" customHeight="1" thickBot="1" x14ac:dyDescent="0.4">
      <c r="A46" s="57" t="s">
        <v>20</v>
      </c>
      <c r="B46" s="58" t="s">
        <v>2</v>
      </c>
      <c r="C46" s="59">
        <v>10</v>
      </c>
      <c r="D46" s="96">
        <f>$L$25</f>
        <v>0.59250000000000014</v>
      </c>
      <c r="E46" s="95">
        <f>$M$25</f>
        <v>0.60666666666666658</v>
      </c>
      <c r="F46" s="61">
        <f>$C$46*$H$42</f>
        <v>38</v>
      </c>
      <c r="G46" s="103">
        <f>$F$46+$D$46*$A$21</f>
        <v>80.660000000000011</v>
      </c>
      <c r="H46" s="104">
        <f>$F$46+$E$46*$C$21</f>
        <v>125.35999999999999</v>
      </c>
      <c r="I46" s="120">
        <f>$G$46+$H$46</f>
        <v>206.01999999999998</v>
      </c>
      <c r="N46" s="48"/>
      <c r="O46" s="48"/>
      <c r="P46" s="48"/>
    </row>
    <row r="47" spans="1:16" ht="50.1" customHeight="1" thickBot="1" x14ac:dyDescent="0.4">
      <c r="A47" s="57" t="s">
        <v>21</v>
      </c>
      <c r="B47" s="58" t="s">
        <v>7</v>
      </c>
      <c r="C47" s="59">
        <v>25</v>
      </c>
      <c r="D47" s="62">
        <v>1.5</v>
      </c>
      <c r="E47" s="63">
        <v>1.5</v>
      </c>
      <c r="F47" s="60">
        <f>$C$47*$H$42</f>
        <v>95</v>
      </c>
      <c r="G47" s="105">
        <f>$F$47+$D$47*$A$21</f>
        <v>203</v>
      </c>
      <c r="H47" s="106">
        <f>$F$47+$E$47*$C$21</f>
        <v>311</v>
      </c>
      <c r="I47" s="119">
        <f>$G$47+$H$47</f>
        <v>514</v>
      </c>
      <c r="N47" s="48"/>
      <c r="O47" s="48"/>
      <c r="P47" s="48"/>
    </row>
    <row r="48" spans="1:16" ht="50.1" customHeight="1" thickBot="1" x14ac:dyDescent="0.4">
      <c r="A48" s="57" t="s">
        <v>22</v>
      </c>
      <c r="B48" s="58" t="s">
        <v>71</v>
      </c>
      <c r="C48" s="59">
        <v>10</v>
      </c>
      <c r="D48" s="97">
        <f>$L$36</f>
        <v>2.93</v>
      </c>
      <c r="E48" s="98">
        <f>$L$36</f>
        <v>2.93</v>
      </c>
      <c r="F48" s="99">
        <f>$C$48*$H$42</f>
        <v>38</v>
      </c>
      <c r="G48" s="103">
        <f>$F$48+$D$48*$A$21</f>
        <v>248.96</v>
      </c>
      <c r="H48" s="104">
        <f>$F$48+$E$48*$C$21</f>
        <v>459.92</v>
      </c>
      <c r="I48" s="120">
        <f>$G$48+$H$48</f>
        <v>708.88</v>
      </c>
      <c r="N48" s="48"/>
      <c r="O48" s="48"/>
      <c r="P48" s="48"/>
    </row>
    <row r="49" spans="1:16" ht="50.1" customHeight="1" thickBot="1" x14ac:dyDescent="0.4">
      <c r="A49" s="57" t="s">
        <v>23</v>
      </c>
      <c r="B49" s="58" t="s">
        <v>11</v>
      </c>
      <c r="C49" s="59">
        <v>0</v>
      </c>
      <c r="D49" s="94">
        <f>$L$39</f>
        <v>5</v>
      </c>
      <c r="E49" s="95">
        <f>$L$40</f>
        <v>2.7777777777777777</v>
      </c>
      <c r="F49" s="61">
        <f>$C$49*$H$42</f>
        <v>0</v>
      </c>
      <c r="G49" s="103">
        <f>$F$49+$D$49*$A$21</f>
        <v>360</v>
      </c>
      <c r="H49" s="104">
        <f>$F$49+$E$49*$C$21</f>
        <v>400</v>
      </c>
      <c r="I49" s="120">
        <f>$G$49+$H$49</f>
        <v>760</v>
      </c>
      <c r="N49" s="48"/>
      <c r="O49" s="48"/>
      <c r="P49" s="48"/>
    </row>
    <row r="50" spans="1:16" ht="50.1" customHeight="1" thickBot="1" x14ac:dyDescent="0.4">
      <c r="A50" s="64" t="s">
        <v>24</v>
      </c>
      <c r="B50" s="65" t="s">
        <v>15</v>
      </c>
      <c r="C50" s="66" t="s">
        <v>34</v>
      </c>
      <c r="D50" s="66" t="s">
        <v>34</v>
      </c>
      <c r="E50" s="67" t="s">
        <v>34</v>
      </c>
      <c r="F50" s="68" t="s">
        <v>34</v>
      </c>
      <c r="G50" s="107" t="s">
        <v>34</v>
      </c>
      <c r="H50" s="108" t="s">
        <v>34</v>
      </c>
      <c r="I50" s="119" t="s">
        <v>34</v>
      </c>
      <c r="N50" s="48"/>
      <c r="O50" s="48"/>
      <c r="P50" s="48"/>
    </row>
    <row r="51" spans="1:16" ht="21" x14ac:dyDescent="0.35">
      <c r="N51" s="48"/>
      <c r="O51" s="48"/>
      <c r="P51" s="48"/>
    </row>
    <row r="52" spans="1:16" ht="21" x14ac:dyDescent="0.35">
      <c r="N52" s="48"/>
      <c r="O52" s="48"/>
      <c r="P52" s="48"/>
    </row>
    <row r="53" spans="1:16" ht="21" x14ac:dyDescent="0.35">
      <c r="N53" s="48"/>
      <c r="O53" s="48"/>
      <c r="P53" s="48"/>
    </row>
    <row r="54" spans="1:16" ht="21" x14ac:dyDescent="0.35">
      <c r="N54" s="48"/>
      <c r="O54" s="48"/>
      <c r="P54" s="48"/>
    </row>
    <row r="55" spans="1:16" ht="21" x14ac:dyDescent="0.35">
      <c r="N55" s="48"/>
      <c r="O55" s="48"/>
      <c r="P55" s="48"/>
    </row>
    <row r="56" spans="1:16" ht="21" x14ac:dyDescent="0.35">
      <c r="N56" s="48"/>
      <c r="O56" s="48"/>
      <c r="P56" s="48"/>
    </row>
    <row r="57" spans="1:16" ht="21" x14ac:dyDescent="0.35">
      <c r="N57" s="48"/>
      <c r="O57" s="48"/>
      <c r="P57" s="48"/>
    </row>
    <row r="58" spans="1:16" ht="21" x14ac:dyDescent="0.35">
      <c r="N58" s="48"/>
      <c r="O58" s="48"/>
      <c r="P58" s="48"/>
    </row>
    <row r="59" spans="1:16" ht="21" x14ac:dyDescent="0.35">
      <c r="N59" s="48"/>
      <c r="O59" s="48"/>
      <c r="P59" s="48"/>
    </row>
    <row r="60" spans="1:16" ht="21" x14ac:dyDescent="0.35">
      <c r="N60" s="48"/>
      <c r="O60" s="48"/>
      <c r="P60" s="48"/>
    </row>
    <row r="61" spans="1:16" ht="21" x14ac:dyDescent="0.35">
      <c r="N61" s="48"/>
      <c r="O61" s="48"/>
      <c r="P61" s="48"/>
    </row>
    <row r="62" spans="1:16" ht="21" x14ac:dyDescent="0.35">
      <c r="N62" s="48"/>
      <c r="O62" s="48"/>
      <c r="P62" s="48"/>
    </row>
    <row r="63" spans="1:16" ht="21" x14ac:dyDescent="0.35">
      <c r="N63" s="48"/>
      <c r="O63" s="48"/>
      <c r="P63" s="48"/>
    </row>
    <row r="64" spans="1:16" ht="21" x14ac:dyDescent="0.35">
      <c r="N64" s="48"/>
      <c r="O64" s="48"/>
      <c r="P64" s="48"/>
    </row>
    <row r="65" spans="14:16" ht="21" x14ac:dyDescent="0.35">
      <c r="N65" s="48"/>
      <c r="O65" s="48"/>
      <c r="P65" s="48"/>
    </row>
    <row r="66" spans="14:16" ht="21" x14ac:dyDescent="0.35">
      <c r="N66" s="48"/>
      <c r="O66" s="48"/>
      <c r="P66" s="48"/>
    </row>
    <row r="67" spans="14:16" ht="21" x14ac:dyDescent="0.35">
      <c r="N67" s="48"/>
      <c r="O67" s="48"/>
      <c r="P67" s="48"/>
    </row>
    <row r="68" spans="14:16" ht="21" x14ac:dyDescent="0.35">
      <c r="N68" s="48"/>
      <c r="O68" s="48"/>
      <c r="P68" s="48"/>
    </row>
    <row r="69" spans="14:16" ht="21" x14ac:dyDescent="0.35">
      <c r="N69" s="48"/>
      <c r="O69" s="48"/>
      <c r="P69" s="48"/>
    </row>
    <row r="70" spans="14:16" ht="21" x14ac:dyDescent="0.35">
      <c r="N70" s="48"/>
      <c r="O70" s="48"/>
      <c r="P70" s="48"/>
    </row>
    <row r="71" spans="14:16" ht="21" x14ac:dyDescent="0.35">
      <c r="N71" s="48"/>
      <c r="O71" s="48"/>
      <c r="P71" s="48"/>
    </row>
    <row r="72" spans="14:16" ht="21" x14ac:dyDescent="0.35">
      <c r="N72" s="48"/>
      <c r="O72" s="48"/>
      <c r="P72" s="48"/>
    </row>
    <row r="73" spans="14:16" ht="21" x14ac:dyDescent="0.35">
      <c r="N73" s="48"/>
      <c r="O73" s="48"/>
      <c r="P73" s="48"/>
    </row>
    <row r="74" spans="14:16" ht="21" x14ac:dyDescent="0.35">
      <c r="N74" s="48"/>
      <c r="O74" s="48"/>
      <c r="P74" s="48"/>
    </row>
    <row r="75" spans="14:16" ht="21" x14ac:dyDescent="0.35">
      <c r="N75" s="48"/>
      <c r="O75" s="48"/>
      <c r="P75" s="48"/>
    </row>
    <row r="76" spans="14:16" ht="21" x14ac:dyDescent="0.35">
      <c r="N76" s="48"/>
      <c r="O76" s="48"/>
      <c r="P76" s="48"/>
    </row>
    <row r="77" spans="14:16" ht="21" x14ac:dyDescent="0.35">
      <c r="N77" s="48"/>
      <c r="O77" s="48"/>
      <c r="P77" s="48"/>
    </row>
    <row r="78" spans="14:16" ht="21" x14ac:dyDescent="0.35">
      <c r="N78" s="48"/>
      <c r="O78" s="48"/>
      <c r="P78" s="48"/>
    </row>
  </sheetData>
  <mergeCells count="10">
    <mergeCell ref="A42:F43"/>
    <mergeCell ref="G42:G43"/>
    <mergeCell ref="H42:H43"/>
    <mergeCell ref="I42:I43"/>
    <mergeCell ref="K3:M4"/>
    <mergeCell ref="K16:M17"/>
    <mergeCell ref="A1:C1"/>
    <mergeCell ref="A13:E13"/>
    <mergeCell ref="A16:D17"/>
    <mergeCell ref="G3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3"/>
  <sheetViews>
    <sheetView zoomScale="55" zoomScaleNormal="55" workbookViewId="0">
      <selection activeCell="W19" sqref="W19"/>
    </sheetView>
  </sheetViews>
  <sheetFormatPr baseColWidth="10" defaultRowHeight="15" x14ac:dyDescent="0.25"/>
  <cols>
    <col min="1" max="1" width="22.28515625" bestFit="1" customWidth="1"/>
    <col min="2" max="2" width="10.28515625" bestFit="1" customWidth="1"/>
    <col min="3" max="3" width="56.5703125" bestFit="1" customWidth="1"/>
    <col min="4" max="4" width="14.140625" bestFit="1" customWidth="1"/>
    <col min="5" max="5" width="11" bestFit="1" customWidth="1"/>
    <col min="7" max="7" width="57.85546875" bestFit="1" customWidth="1"/>
    <col min="8" max="8" width="14.140625" bestFit="1" customWidth="1"/>
    <col min="9" max="9" width="17.85546875" bestFit="1" customWidth="1"/>
    <col min="11" max="11" width="7.140625" customWidth="1"/>
    <col min="12" max="12" width="8.42578125" bestFit="1" customWidth="1"/>
    <col min="16" max="16" width="7.140625" bestFit="1" customWidth="1"/>
    <col min="17" max="17" width="8.7109375" bestFit="1" customWidth="1"/>
    <col min="18" max="18" width="12.85546875" bestFit="1" customWidth="1"/>
    <col min="19" max="19" width="10" bestFit="1" customWidth="1"/>
    <col min="20" max="20" width="24.28515625" bestFit="1" customWidth="1"/>
    <col min="21" max="21" width="26.42578125" bestFit="1" customWidth="1"/>
    <col min="22" max="22" width="49.28515625" bestFit="1" customWidth="1"/>
    <col min="23" max="23" width="46.140625" bestFit="1" customWidth="1"/>
    <col min="24" max="24" width="27.140625" bestFit="1" customWidth="1"/>
  </cols>
  <sheetData>
    <row r="1" spans="1:24" ht="42" x14ac:dyDescent="0.25">
      <c r="A1" s="318" t="s">
        <v>42</v>
      </c>
      <c r="B1" s="319"/>
      <c r="C1" s="320"/>
      <c r="D1" s="11" t="s">
        <v>12</v>
      </c>
      <c r="E1" s="18" t="s">
        <v>13</v>
      </c>
      <c r="P1" s="336" t="s">
        <v>194</v>
      </c>
      <c r="Q1" s="336"/>
      <c r="R1" s="336"/>
      <c r="S1" s="336"/>
    </row>
    <row r="2" spans="1:24" ht="15.75" thickBot="1" x14ac:dyDescent="0.3">
      <c r="A2" s="12" t="s">
        <v>39</v>
      </c>
      <c r="B2" s="17">
        <v>422</v>
      </c>
      <c r="C2" s="7"/>
      <c r="D2" s="7"/>
      <c r="E2" s="8"/>
      <c r="G2" t="s">
        <v>215</v>
      </c>
      <c r="H2">
        <v>12</v>
      </c>
    </row>
    <row r="3" spans="1:24" ht="21" x14ac:dyDescent="0.35">
      <c r="A3" s="2" t="s">
        <v>38</v>
      </c>
      <c r="B3" s="17">
        <v>211</v>
      </c>
      <c r="C3" s="7"/>
      <c r="D3" s="7"/>
      <c r="E3" s="8"/>
      <c r="G3" t="s">
        <v>216</v>
      </c>
      <c r="H3">
        <v>422</v>
      </c>
      <c r="P3" s="337" t="s">
        <v>217</v>
      </c>
      <c r="Q3" s="338"/>
      <c r="R3" s="338"/>
      <c r="S3" s="157" t="s">
        <v>13</v>
      </c>
    </row>
    <row r="4" spans="1:24" ht="15.75" thickBot="1" x14ac:dyDescent="0.3">
      <c r="A4" s="3" t="s">
        <v>16</v>
      </c>
      <c r="B4" s="23">
        <v>211</v>
      </c>
      <c r="C4" s="9"/>
      <c r="D4" s="9"/>
      <c r="E4" s="10"/>
      <c r="P4" s="339" t="s">
        <v>39</v>
      </c>
      <c r="Q4" s="340"/>
      <c r="R4" s="340"/>
      <c r="S4" s="159">
        <v>422</v>
      </c>
    </row>
    <row r="5" spans="1:24" ht="90" customHeight="1" x14ac:dyDescent="0.25">
      <c r="A5" s="1"/>
      <c r="B5" s="22" t="s">
        <v>17</v>
      </c>
      <c r="C5" s="22" t="s">
        <v>37</v>
      </c>
      <c r="D5" s="19" t="s">
        <v>18</v>
      </c>
      <c r="E5" s="20" t="s">
        <v>50</v>
      </c>
      <c r="P5" s="339" t="s">
        <v>38</v>
      </c>
      <c r="Q5" s="340"/>
      <c r="R5" s="340"/>
      <c r="S5" s="159">
        <v>211</v>
      </c>
    </row>
    <row r="6" spans="1:24" ht="30.75" thickBot="1" x14ac:dyDescent="0.3">
      <c r="A6" s="21" t="s">
        <v>19</v>
      </c>
      <c r="B6" s="13" t="s">
        <v>35</v>
      </c>
      <c r="C6" s="4" t="s">
        <v>55</v>
      </c>
      <c r="D6" s="5" t="s">
        <v>34</v>
      </c>
      <c r="E6" s="6" t="s">
        <v>34</v>
      </c>
      <c r="P6" s="341" t="s">
        <v>16</v>
      </c>
      <c r="Q6" s="342"/>
      <c r="R6" s="342"/>
      <c r="S6" s="160">
        <v>211</v>
      </c>
    </row>
    <row r="7" spans="1:24" ht="78" thickTop="1" x14ac:dyDescent="0.25">
      <c r="A7" s="21" t="s">
        <v>20</v>
      </c>
      <c r="B7" s="13" t="s">
        <v>2</v>
      </c>
      <c r="C7" s="4" t="s">
        <v>72</v>
      </c>
      <c r="D7" s="5">
        <v>25</v>
      </c>
      <c r="E7" s="161">
        <f>D50</f>
        <v>1.0733333333333333</v>
      </c>
      <c r="P7" s="162"/>
      <c r="Q7" s="163" t="s">
        <v>17</v>
      </c>
      <c r="R7" s="164" t="s">
        <v>18</v>
      </c>
      <c r="S7" s="165" t="s">
        <v>218</v>
      </c>
    </row>
    <row r="8" spans="1:24" ht="30" x14ac:dyDescent="0.25">
      <c r="A8" s="21" t="s">
        <v>21</v>
      </c>
      <c r="B8" s="13" t="s">
        <v>3</v>
      </c>
      <c r="C8" s="4" t="s">
        <v>46</v>
      </c>
      <c r="D8" s="5">
        <v>0</v>
      </c>
      <c r="E8" s="6">
        <v>2</v>
      </c>
      <c r="P8" s="166" t="s">
        <v>19</v>
      </c>
      <c r="Q8" s="152" t="s">
        <v>35</v>
      </c>
      <c r="R8" s="5" t="s">
        <v>34</v>
      </c>
      <c r="S8" s="6" t="s">
        <v>34</v>
      </c>
      <c r="T8" s="167"/>
      <c r="U8" s="117" t="s">
        <v>219</v>
      </c>
      <c r="V8" s="117" t="s">
        <v>220</v>
      </c>
      <c r="W8" s="117" t="s">
        <v>221</v>
      </c>
      <c r="X8" s="168" t="s">
        <v>222</v>
      </c>
    </row>
    <row r="9" spans="1:24" ht="60" x14ac:dyDescent="0.25">
      <c r="A9" s="21" t="s">
        <v>22</v>
      </c>
      <c r="B9" s="13" t="s">
        <v>4</v>
      </c>
      <c r="C9" s="4" t="s">
        <v>45</v>
      </c>
      <c r="D9" s="5">
        <v>200</v>
      </c>
      <c r="E9" s="161">
        <f>I28</f>
        <v>6.0555555555555554</v>
      </c>
      <c r="P9" s="166" t="s">
        <v>20</v>
      </c>
      <c r="Q9" s="152" t="s">
        <v>2</v>
      </c>
      <c r="R9" s="152">
        <v>25</v>
      </c>
      <c r="S9" s="169">
        <f>E7</f>
        <v>1.0733333333333333</v>
      </c>
      <c r="T9" s="167" t="s">
        <v>223</v>
      </c>
      <c r="U9" s="170">
        <f>$S$4*S9</f>
        <v>452.94666666666666</v>
      </c>
      <c r="V9" s="47">
        <f>$S$4/$S$6</f>
        <v>2</v>
      </c>
      <c r="W9" s="171">
        <f>R9*V9</f>
        <v>50</v>
      </c>
      <c r="X9" s="172">
        <f>U9+W9</f>
        <v>502.94666666666666</v>
      </c>
    </row>
    <row r="10" spans="1:24" ht="45" x14ac:dyDescent="0.25">
      <c r="A10" s="21" t="s">
        <v>23</v>
      </c>
      <c r="B10" s="13" t="s">
        <v>6</v>
      </c>
      <c r="C10" s="4" t="s">
        <v>68</v>
      </c>
      <c r="D10" s="5">
        <v>25</v>
      </c>
      <c r="E10" s="161">
        <f>I44</f>
        <v>3.2777777777777777</v>
      </c>
      <c r="P10" s="166" t="s">
        <v>21</v>
      </c>
      <c r="Q10" s="152" t="s">
        <v>3</v>
      </c>
      <c r="R10" s="152">
        <v>0</v>
      </c>
      <c r="S10" s="173">
        <v>2</v>
      </c>
      <c r="T10" s="167" t="s">
        <v>224</v>
      </c>
      <c r="U10" s="170">
        <f t="shared" ref="U10:U13" si="0">$S$4*S10</f>
        <v>844</v>
      </c>
      <c r="V10" s="47">
        <f t="shared" ref="V10:V13" si="1">$S$4/$S$6</f>
        <v>2</v>
      </c>
      <c r="W10" s="171">
        <f t="shared" ref="W10:W12" si="2">R10*V10</f>
        <v>0</v>
      </c>
      <c r="X10" s="172">
        <f t="shared" ref="X10:X13" si="3">U10+W10</f>
        <v>844</v>
      </c>
    </row>
    <row r="11" spans="1:24" ht="45" x14ac:dyDescent="0.25">
      <c r="A11" s="21" t="s">
        <v>24</v>
      </c>
      <c r="B11" s="13" t="s">
        <v>11</v>
      </c>
      <c r="C11" s="4" t="s">
        <v>44</v>
      </c>
      <c r="D11" s="5">
        <v>0</v>
      </c>
      <c r="E11" s="174">
        <f>H53</f>
        <v>0.94786729857819907</v>
      </c>
      <c r="P11" s="166" t="s">
        <v>22</v>
      </c>
      <c r="Q11" s="152" t="s">
        <v>4</v>
      </c>
      <c r="R11" s="152">
        <v>200</v>
      </c>
      <c r="S11" s="169">
        <f>E9</f>
        <v>6.0555555555555554</v>
      </c>
      <c r="T11" s="167" t="s">
        <v>225</v>
      </c>
      <c r="U11" s="170">
        <f>$S$4*S11</f>
        <v>2555.4444444444443</v>
      </c>
      <c r="V11" s="47">
        <f t="shared" si="1"/>
        <v>2</v>
      </c>
      <c r="W11" s="171">
        <f t="shared" si="2"/>
        <v>400</v>
      </c>
      <c r="X11" s="172">
        <f t="shared" si="3"/>
        <v>2955.4444444444443</v>
      </c>
    </row>
    <row r="12" spans="1:24" ht="30.75" thickBot="1" x14ac:dyDescent="0.3">
      <c r="A12" s="24" t="s">
        <v>25</v>
      </c>
      <c r="B12" s="25" t="s">
        <v>15</v>
      </c>
      <c r="C12" s="26" t="s">
        <v>54</v>
      </c>
      <c r="D12" s="27" t="s">
        <v>34</v>
      </c>
      <c r="E12" s="28" t="s">
        <v>34</v>
      </c>
      <c r="P12" s="166" t="s">
        <v>23</v>
      </c>
      <c r="Q12" s="152" t="s">
        <v>6</v>
      </c>
      <c r="R12" s="152">
        <v>25</v>
      </c>
      <c r="S12" s="169">
        <f>E10</f>
        <v>3.2777777777777777</v>
      </c>
      <c r="T12" s="167" t="s">
        <v>226</v>
      </c>
      <c r="U12" s="170">
        <f t="shared" si="0"/>
        <v>1383.2222222222222</v>
      </c>
      <c r="V12" s="47">
        <f t="shared" si="1"/>
        <v>2</v>
      </c>
      <c r="W12" s="171">
        <f t="shared" si="2"/>
        <v>50</v>
      </c>
      <c r="X12" s="172">
        <f t="shared" si="3"/>
        <v>1433.2222222222222</v>
      </c>
    </row>
    <row r="13" spans="1:24" s="42" customFormat="1" ht="22.9" customHeight="1" x14ac:dyDescent="0.35">
      <c r="A13" s="335" t="s">
        <v>77</v>
      </c>
      <c r="B13" s="335"/>
      <c r="C13" s="335"/>
      <c r="D13" s="335"/>
      <c r="E13" s="335"/>
      <c r="H13" s="43"/>
      <c r="I13" s="43"/>
      <c r="J13" s="43"/>
      <c r="K13" s="43"/>
      <c r="L13" s="43"/>
      <c r="P13" s="166" t="s">
        <v>24</v>
      </c>
      <c r="Q13" s="175" t="s">
        <v>11</v>
      </c>
      <c r="R13" s="175">
        <v>0</v>
      </c>
      <c r="S13" s="176">
        <f>E11</f>
        <v>0.94786729857819907</v>
      </c>
      <c r="T13" s="167" t="s">
        <v>227</v>
      </c>
      <c r="U13" s="170">
        <f t="shared" si="0"/>
        <v>400</v>
      </c>
      <c r="V13" s="47">
        <f t="shared" si="1"/>
        <v>2</v>
      </c>
      <c r="W13" s="171">
        <f>R13*V13</f>
        <v>0</v>
      </c>
      <c r="X13" s="172">
        <f t="shared" si="3"/>
        <v>400</v>
      </c>
    </row>
    <row r="14" spans="1:24" ht="16.5" thickBot="1" x14ac:dyDescent="0.3">
      <c r="G14" s="177" t="s">
        <v>228</v>
      </c>
      <c r="J14" s="33"/>
      <c r="K14" s="33"/>
      <c r="L14" s="32"/>
      <c r="P14" s="178" t="s">
        <v>25</v>
      </c>
      <c r="Q14" s="179" t="s">
        <v>15</v>
      </c>
      <c r="R14" s="179" t="s">
        <v>34</v>
      </c>
      <c r="S14" s="180" t="s">
        <v>34</v>
      </c>
    </row>
    <row r="15" spans="1:24" ht="15.75" thickBot="1" x14ac:dyDescent="0.3">
      <c r="J15" s="32"/>
      <c r="K15" s="32"/>
      <c r="L15" s="32"/>
      <c r="P15" s="181" t="s">
        <v>26</v>
      </c>
      <c r="Q15" s="182" t="s">
        <v>15</v>
      </c>
      <c r="R15" s="183" t="s">
        <v>34</v>
      </c>
      <c r="S15" s="184" t="s">
        <v>34</v>
      </c>
      <c r="T15" s="32"/>
    </row>
    <row r="16" spans="1:24" ht="15.75" thickTop="1" x14ac:dyDescent="0.25">
      <c r="G16" s="185" t="s">
        <v>37</v>
      </c>
      <c r="H16" s="185" t="s">
        <v>229</v>
      </c>
      <c r="I16" s="185" t="s">
        <v>230</v>
      </c>
      <c r="J16" s="32"/>
      <c r="K16" s="35"/>
      <c r="L16" s="32"/>
    </row>
    <row r="17" spans="1:12" x14ac:dyDescent="0.25">
      <c r="G17" s="13" t="s">
        <v>231</v>
      </c>
      <c r="H17" s="5" t="s">
        <v>232</v>
      </c>
      <c r="I17" s="5" t="s">
        <v>233</v>
      </c>
      <c r="J17" s="34"/>
      <c r="K17" s="34"/>
      <c r="L17" s="34"/>
    </row>
    <row r="18" spans="1:12" x14ac:dyDescent="0.25">
      <c r="A18" t="s">
        <v>234</v>
      </c>
      <c r="C18" s="186" t="s">
        <v>235</v>
      </c>
      <c r="G18" s="13" t="s">
        <v>236</v>
      </c>
      <c r="H18" s="5" t="s">
        <v>232</v>
      </c>
      <c r="I18" s="5" t="s">
        <v>237</v>
      </c>
      <c r="J18" s="34"/>
      <c r="K18" s="34"/>
      <c r="L18" s="34"/>
    </row>
    <row r="19" spans="1:12" x14ac:dyDescent="0.25">
      <c r="G19" s="13" t="s">
        <v>238</v>
      </c>
      <c r="H19" s="5" t="s">
        <v>239</v>
      </c>
      <c r="I19" s="5" t="s">
        <v>240</v>
      </c>
      <c r="J19" s="34"/>
      <c r="K19" s="34"/>
      <c r="L19" s="34"/>
    </row>
    <row r="20" spans="1:12" x14ac:dyDescent="0.25">
      <c r="C20" s="187" t="s">
        <v>37</v>
      </c>
      <c r="G20" s="13" t="s">
        <v>241</v>
      </c>
      <c r="H20" s="5" t="s">
        <v>232</v>
      </c>
      <c r="I20" s="5" t="s">
        <v>242</v>
      </c>
      <c r="J20" s="32"/>
      <c r="K20" s="32"/>
      <c r="L20" s="34"/>
    </row>
    <row r="21" spans="1:12" x14ac:dyDescent="0.25">
      <c r="G21" s="13" t="s">
        <v>243</v>
      </c>
      <c r="H21" s="5" t="s">
        <v>239</v>
      </c>
      <c r="I21" s="5" t="s">
        <v>244</v>
      </c>
      <c r="K21" s="32" t="s">
        <v>245</v>
      </c>
      <c r="L21" s="34">
        <v>408</v>
      </c>
    </row>
    <row r="22" spans="1:12" x14ac:dyDescent="0.25">
      <c r="C22" s="47" t="s">
        <v>246</v>
      </c>
      <c r="D22" s="188">
        <v>0.4</v>
      </c>
      <c r="G22" s="13" t="s">
        <v>247</v>
      </c>
      <c r="H22" s="5" t="s">
        <v>232</v>
      </c>
      <c r="I22" s="5" t="s">
        <v>242</v>
      </c>
      <c r="K22" t="s">
        <v>248</v>
      </c>
      <c r="L22">
        <v>868</v>
      </c>
    </row>
    <row r="23" spans="1:12" x14ac:dyDescent="0.25">
      <c r="C23" s="47" t="s">
        <v>249</v>
      </c>
      <c r="D23" s="188">
        <v>0.43</v>
      </c>
      <c r="G23" s="13" t="s">
        <v>250</v>
      </c>
      <c r="H23" s="5" t="s">
        <v>239</v>
      </c>
      <c r="I23" s="5" t="s">
        <v>251</v>
      </c>
      <c r="K23" t="s">
        <v>252</v>
      </c>
      <c r="L23">
        <v>60</v>
      </c>
    </row>
    <row r="24" spans="1:12" x14ac:dyDescent="0.25">
      <c r="C24" s="47" t="s">
        <v>253</v>
      </c>
      <c r="D24" s="188">
        <v>0.12</v>
      </c>
      <c r="G24" s="13" t="s">
        <v>254</v>
      </c>
      <c r="H24" s="5" t="s">
        <v>232</v>
      </c>
      <c r="I24" s="189" t="s">
        <v>255</v>
      </c>
      <c r="K24" t="s">
        <v>256</v>
      </c>
      <c r="L24" s="36">
        <v>0.15</v>
      </c>
    </row>
    <row r="25" spans="1:12" x14ac:dyDescent="0.25">
      <c r="C25" s="47" t="s">
        <v>257</v>
      </c>
      <c r="D25" s="188">
        <v>0.43</v>
      </c>
      <c r="K25" t="s">
        <v>258</v>
      </c>
      <c r="L25" s="37">
        <f>L22*4*L24</f>
        <v>520.79999999999995</v>
      </c>
    </row>
    <row r="26" spans="1:12" x14ac:dyDescent="0.25">
      <c r="C26" s="47" t="s">
        <v>259</v>
      </c>
      <c r="D26" s="188">
        <v>0.12</v>
      </c>
      <c r="H26" s="152" t="s">
        <v>260</v>
      </c>
      <c r="I26" s="152"/>
      <c r="K26" t="s">
        <v>261</v>
      </c>
      <c r="L26" s="37">
        <f>L21/L25</f>
        <v>0.78341013824884798</v>
      </c>
    </row>
    <row r="27" spans="1:12" x14ac:dyDescent="0.25">
      <c r="C27" s="47" t="s">
        <v>262</v>
      </c>
      <c r="D27" s="188">
        <v>0.43</v>
      </c>
      <c r="H27" s="152" t="s">
        <v>263</v>
      </c>
      <c r="I27" s="152">
        <v>218</v>
      </c>
      <c r="K27" t="s">
        <v>264</v>
      </c>
      <c r="L27">
        <f>0.78*60</f>
        <v>46.800000000000004</v>
      </c>
    </row>
    <row r="28" spans="1:12" x14ac:dyDescent="0.25">
      <c r="C28" s="47" t="s">
        <v>265</v>
      </c>
      <c r="D28" s="188">
        <v>0.12</v>
      </c>
      <c r="H28" s="152" t="s">
        <v>266</v>
      </c>
      <c r="I28" s="190">
        <f>I27/36</f>
        <v>6.0555555555555554</v>
      </c>
      <c r="J28" s="33"/>
      <c r="K28" s="33"/>
      <c r="L28" s="33"/>
    </row>
    <row r="29" spans="1:12" x14ac:dyDescent="0.25">
      <c r="C29" s="47" t="s">
        <v>267</v>
      </c>
      <c r="D29" s="188">
        <v>0.43</v>
      </c>
      <c r="J29" s="33"/>
      <c r="K29" s="33"/>
      <c r="L29" s="32"/>
    </row>
    <row r="30" spans="1:12" x14ac:dyDescent="0.25">
      <c r="C30" s="47" t="s">
        <v>268</v>
      </c>
      <c r="D30" s="188">
        <v>0.12</v>
      </c>
      <c r="J30" s="34"/>
      <c r="K30" s="32"/>
      <c r="L30" s="32"/>
    </row>
    <row r="31" spans="1:12" ht="15.75" x14ac:dyDescent="0.25">
      <c r="C31" s="47" t="s">
        <v>269</v>
      </c>
      <c r="D31" s="188">
        <v>0.43</v>
      </c>
      <c r="G31" s="191" t="s">
        <v>270</v>
      </c>
      <c r="J31" s="32"/>
      <c r="K31" s="35"/>
      <c r="L31" s="32"/>
    </row>
    <row r="32" spans="1:12" x14ac:dyDescent="0.25">
      <c r="C32" s="47" t="s">
        <v>271</v>
      </c>
      <c r="D32" s="188">
        <v>0.12</v>
      </c>
      <c r="J32" s="34"/>
      <c r="K32" s="34"/>
      <c r="L32" s="34"/>
    </row>
    <row r="33" spans="3:12" x14ac:dyDescent="0.25">
      <c r="C33" s="47" t="s">
        <v>272</v>
      </c>
      <c r="D33" s="188">
        <v>0.43</v>
      </c>
      <c r="J33" s="32"/>
      <c r="K33" s="32"/>
      <c r="L33" s="34"/>
    </row>
    <row r="34" spans="3:12" x14ac:dyDescent="0.25">
      <c r="C34" s="47" t="s">
        <v>273</v>
      </c>
      <c r="D34" s="188">
        <v>0.12</v>
      </c>
      <c r="G34" s="185" t="s">
        <v>37</v>
      </c>
      <c r="H34" s="185" t="s">
        <v>229</v>
      </c>
      <c r="I34" s="185" t="s">
        <v>230</v>
      </c>
    </row>
    <row r="35" spans="3:12" x14ac:dyDescent="0.25">
      <c r="C35" s="47" t="s">
        <v>274</v>
      </c>
      <c r="D35" s="188">
        <v>0.43</v>
      </c>
      <c r="G35" s="47" t="s">
        <v>231</v>
      </c>
      <c r="H35" s="152" t="s">
        <v>232</v>
      </c>
      <c r="I35" s="152" t="s">
        <v>275</v>
      </c>
      <c r="L35" s="34"/>
    </row>
    <row r="36" spans="3:12" x14ac:dyDescent="0.25">
      <c r="C36" s="47" t="s">
        <v>276</v>
      </c>
      <c r="D36" s="188">
        <v>0.12</v>
      </c>
      <c r="G36" s="47" t="s">
        <v>277</v>
      </c>
      <c r="H36" s="152" t="s">
        <v>232</v>
      </c>
      <c r="I36" s="152" t="s">
        <v>278</v>
      </c>
      <c r="L36" s="36"/>
    </row>
    <row r="37" spans="3:12" x14ac:dyDescent="0.25">
      <c r="C37" s="47" t="s">
        <v>279</v>
      </c>
      <c r="D37" s="188">
        <v>0.43</v>
      </c>
      <c r="G37" s="47" t="s">
        <v>280</v>
      </c>
      <c r="H37" s="152" t="s">
        <v>232</v>
      </c>
      <c r="I37" s="152" t="s">
        <v>281</v>
      </c>
      <c r="L37" s="37"/>
    </row>
    <row r="38" spans="3:12" x14ac:dyDescent="0.25">
      <c r="C38" s="47" t="s">
        <v>282</v>
      </c>
      <c r="D38" s="188">
        <v>0.12</v>
      </c>
      <c r="G38" s="47" t="s">
        <v>283</v>
      </c>
      <c r="H38" s="152" t="s">
        <v>232</v>
      </c>
      <c r="I38" s="152" t="s">
        <v>242</v>
      </c>
    </row>
    <row r="39" spans="3:12" x14ac:dyDescent="0.25">
      <c r="C39" s="47" t="s">
        <v>284</v>
      </c>
      <c r="D39" s="188">
        <v>0.43</v>
      </c>
      <c r="G39" s="47" t="s">
        <v>285</v>
      </c>
      <c r="H39" s="152" t="s">
        <v>232</v>
      </c>
      <c r="I39" s="152" t="s">
        <v>281</v>
      </c>
    </row>
    <row r="40" spans="3:12" x14ac:dyDescent="0.25">
      <c r="C40" s="47" t="s">
        <v>286</v>
      </c>
      <c r="D40" s="188">
        <v>0.12</v>
      </c>
      <c r="G40" s="47" t="s">
        <v>254</v>
      </c>
      <c r="H40" s="152" t="s">
        <v>232</v>
      </c>
      <c r="I40" s="192" t="s">
        <v>278</v>
      </c>
    </row>
    <row r="41" spans="3:12" x14ac:dyDescent="0.25">
      <c r="C41" s="47" t="s">
        <v>287</v>
      </c>
      <c r="D41" s="188">
        <v>0.43</v>
      </c>
      <c r="G41" s="193"/>
      <c r="H41" s="194"/>
      <c r="I41" s="193"/>
    </row>
    <row r="42" spans="3:12" x14ac:dyDescent="0.25">
      <c r="C42" s="47" t="s">
        <v>288</v>
      </c>
      <c r="D42" s="188">
        <v>0.12</v>
      </c>
      <c r="H42" s="152" t="s">
        <v>260</v>
      </c>
      <c r="I42" s="152"/>
    </row>
    <row r="43" spans="3:12" x14ac:dyDescent="0.25">
      <c r="C43" s="47" t="s">
        <v>289</v>
      </c>
      <c r="D43" s="188">
        <v>0.43</v>
      </c>
      <c r="H43" s="152" t="s">
        <v>263</v>
      </c>
      <c r="I43" s="152">
        <v>118</v>
      </c>
    </row>
    <row r="44" spans="3:12" x14ac:dyDescent="0.25">
      <c r="C44" s="47" t="s">
        <v>290</v>
      </c>
      <c r="D44" s="188">
        <v>0.12</v>
      </c>
      <c r="H44" s="152" t="s">
        <v>266</v>
      </c>
      <c r="I44" s="190">
        <f>I43/36</f>
        <v>3.2777777777777777</v>
      </c>
    </row>
    <row r="45" spans="3:12" x14ac:dyDescent="0.25">
      <c r="C45" s="47" t="s">
        <v>291</v>
      </c>
      <c r="D45" s="188">
        <v>0.43</v>
      </c>
    </row>
    <row r="46" spans="3:12" x14ac:dyDescent="0.25">
      <c r="C46" s="47" t="s">
        <v>292</v>
      </c>
      <c r="D46" s="188">
        <v>0.12</v>
      </c>
    </row>
    <row r="47" spans="3:12" x14ac:dyDescent="0.25">
      <c r="C47" s="47" t="s">
        <v>293</v>
      </c>
      <c r="D47" s="188">
        <f>0.3*12</f>
        <v>3.5999999999999996</v>
      </c>
    </row>
    <row r="48" spans="3:12" ht="15.75" x14ac:dyDescent="0.25">
      <c r="C48" s="47" t="s">
        <v>294</v>
      </c>
      <c r="D48" s="188">
        <v>2.2799999999999998</v>
      </c>
      <c r="G48" s="177" t="s">
        <v>295</v>
      </c>
    </row>
    <row r="49" spans="3:8" x14ac:dyDescent="0.25">
      <c r="C49" s="195" t="s">
        <v>296</v>
      </c>
      <c r="D49" s="196">
        <f>SUM(D22:D48)</f>
        <v>12.879999999999999</v>
      </c>
    </row>
    <row r="50" spans="3:8" x14ac:dyDescent="0.25">
      <c r="C50" s="197" t="s">
        <v>297</v>
      </c>
      <c r="D50" s="198">
        <f>D49/12</f>
        <v>1.0733333333333333</v>
      </c>
      <c r="G50" s="152" t="s">
        <v>298</v>
      </c>
      <c r="H50" s="152" t="s">
        <v>299</v>
      </c>
    </row>
    <row r="51" spans="3:8" x14ac:dyDescent="0.25">
      <c r="G51" s="152" t="s">
        <v>300</v>
      </c>
      <c r="H51" s="152" t="s">
        <v>301</v>
      </c>
    </row>
    <row r="52" spans="3:8" x14ac:dyDescent="0.25">
      <c r="G52" s="152" t="s">
        <v>302</v>
      </c>
      <c r="H52" s="152">
        <f>B3</f>
        <v>211</v>
      </c>
    </row>
    <row r="53" spans="3:8" x14ac:dyDescent="0.25">
      <c r="G53" s="152" t="s">
        <v>260</v>
      </c>
      <c r="H53" s="199">
        <f>200/H52</f>
        <v>0.94786729857819907</v>
      </c>
    </row>
  </sheetData>
  <mergeCells count="7">
    <mergeCell ref="A1:C1"/>
    <mergeCell ref="A13:E13"/>
    <mergeCell ref="P1:S1"/>
    <mergeCell ref="P3:R3"/>
    <mergeCell ref="P4:R4"/>
    <mergeCell ref="P5:R5"/>
    <mergeCell ref="P6:R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8"/>
  <sheetViews>
    <sheetView topLeftCell="A9" zoomScale="70" zoomScaleNormal="70" workbookViewId="0">
      <selection activeCell="E12" sqref="E12"/>
    </sheetView>
  </sheetViews>
  <sheetFormatPr baseColWidth="10" defaultRowHeight="15" x14ac:dyDescent="0.25"/>
  <cols>
    <col min="1" max="1" width="25.7109375" customWidth="1"/>
    <col min="2" max="2" width="12.7109375" customWidth="1"/>
    <col min="3" max="3" width="60.7109375" customWidth="1"/>
    <col min="4" max="5" width="15.7109375" customWidth="1"/>
    <col min="8" max="8" width="18.42578125" customWidth="1"/>
    <col min="22" max="22" width="12.85546875" customWidth="1"/>
    <col min="23" max="23" width="15.140625" customWidth="1"/>
    <col min="24" max="24" width="21.85546875" customWidth="1"/>
    <col min="25" max="25" width="22.7109375" customWidth="1"/>
    <col min="26" max="26" width="18.7109375" customWidth="1"/>
    <col min="27" max="27" width="21.42578125" customWidth="1"/>
    <col min="28" max="28" width="20" customWidth="1"/>
    <col min="29" max="29" width="21.42578125" customWidth="1"/>
    <col min="30" max="30" width="23" customWidth="1"/>
  </cols>
  <sheetData>
    <row r="1" spans="1:21" ht="42" x14ac:dyDescent="0.25">
      <c r="A1" s="318" t="s">
        <v>41</v>
      </c>
      <c r="B1" s="319"/>
      <c r="C1" s="320"/>
      <c r="D1" s="11" t="s">
        <v>12</v>
      </c>
      <c r="E1" s="18" t="s">
        <v>31</v>
      </c>
    </row>
    <row r="2" spans="1:21" x14ac:dyDescent="0.25">
      <c r="A2" s="12" t="s">
        <v>39</v>
      </c>
      <c r="B2" s="17">
        <f>71+140</f>
        <v>211</v>
      </c>
      <c r="C2" s="7"/>
      <c r="D2" s="7"/>
      <c r="E2" s="8"/>
    </row>
    <row r="3" spans="1:21" x14ac:dyDescent="0.25">
      <c r="A3" s="158" t="s">
        <v>38</v>
      </c>
      <c r="B3" s="17">
        <v>28</v>
      </c>
      <c r="C3" s="7"/>
      <c r="D3" s="7"/>
      <c r="E3" s="8"/>
    </row>
    <row r="4" spans="1:21" ht="15.75" thickBot="1" x14ac:dyDescent="0.3">
      <c r="A4" s="3" t="s">
        <v>16</v>
      </c>
      <c r="B4" s="23">
        <v>28</v>
      </c>
      <c r="C4" s="9"/>
      <c r="D4" s="9"/>
      <c r="E4" s="10"/>
    </row>
    <row r="5" spans="1:21" ht="90" customHeight="1" x14ac:dyDescent="0.25">
      <c r="A5" s="1"/>
      <c r="B5" s="22" t="s">
        <v>17</v>
      </c>
      <c r="C5" s="22" t="s">
        <v>37</v>
      </c>
      <c r="D5" s="19" t="s">
        <v>18</v>
      </c>
      <c r="E5" s="20" t="s">
        <v>50</v>
      </c>
    </row>
    <row r="6" spans="1:21" ht="30.75" thickBot="1" x14ac:dyDescent="0.3">
      <c r="A6" s="21" t="s">
        <v>19</v>
      </c>
      <c r="B6" s="13" t="s">
        <v>14</v>
      </c>
      <c r="C6" s="4" t="s">
        <v>58</v>
      </c>
      <c r="D6" s="5" t="s">
        <v>34</v>
      </c>
      <c r="E6" s="6" t="s">
        <v>34</v>
      </c>
    </row>
    <row r="7" spans="1:21" ht="31.5" thickBot="1" x14ac:dyDescent="0.35">
      <c r="A7" s="21" t="s">
        <v>20</v>
      </c>
      <c r="B7" s="13" t="s">
        <v>8</v>
      </c>
      <c r="C7" s="4" t="s">
        <v>73</v>
      </c>
      <c r="D7" s="5">
        <v>25</v>
      </c>
      <c r="E7" s="6">
        <v>2</v>
      </c>
      <c r="H7" s="267" t="s">
        <v>396</v>
      </c>
      <c r="I7" s="268">
        <f>L10+L11+L12+L13+L14+L15</f>
        <v>1.97</v>
      </c>
    </row>
    <row r="8" spans="1:21" ht="30.6" customHeight="1" x14ac:dyDescent="0.3">
      <c r="A8" s="21" t="s">
        <v>21</v>
      </c>
      <c r="B8" s="13" t="s">
        <v>7</v>
      </c>
      <c r="C8" s="4" t="s">
        <v>47</v>
      </c>
      <c r="D8" s="5">
        <v>25</v>
      </c>
      <c r="E8" s="15">
        <v>2.2000000000000002</v>
      </c>
      <c r="F8" s="38"/>
      <c r="H8" s="269" t="s">
        <v>397</v>
      </c>
      <c r="I8" s="270"/>
      <c r="K8" s="343" t="s">
        <v>398</v>
      </c>
      <c r="L8" s="344"/>
      <c r="M8" s="344"/>
      <c r="N8" s="344"/>
      <c r="O8" s="344"/>
      <c r="P8" s="344"/>
      <c r="Q8" s="344"/>
      <c r="R8" s="344"/>
      <c r="S8" s="344"/>
      <c r="T8" s="344"/>
      <c r="U8" s="345"/>
    </row>
    <row r="9" spans="1:21" ht="30.75" thickBot="1" x14ac:dyDescent="0.3">
      <c r="A9" s="21" t="s">
        <v>22</v>
      </c>
      <c r="B9" s="13" t="s">
        <v>5</v>
      </c>
      <c r="C9" s="4" t="s">
        <v>69</v>
      </c>
      <c r="D9" s="5">
        <v>100</v>
      </c>
      <c r="E9" s="15">
        <v>3</v>
      </c>
      <c r="F9" s="38"/>
      <c r="K9" s="271" t="s">
        <v>399</v>
      </c>
      <c r="L9" s="272"/>
      <c r="M9" s="272"/>
      <c r="N9" s="272"/>
      <c r="O9" s="272"/>
      <c r="P9" s="272"/>
      <c r="Q9" s="272"/>
      <c r="R9" s="272"/>
      <c r="S9" s="272"/>
      <c r="T9" s="272"/>
      <c r="U9" s="273"/>
    </row>
    <row r="10" spans="1:21" ht="30" x14ac:dyDescent="0.25">
      <c r="A10" s="21" t="s">
        <v>23</v>
      </c>
      <c r="B10" s="13" t="s">
        <v>1</v>
      </c>
      <c r="C10" s="4" t="s">
        <v>57</v>
      </c>
      <c r="D10" s="5">
        <v>10</v>
      </c>
      <c r="E10" s="15">
        <v>3</v>
      </c>
      <c r="K10" s="274" t="s">
        <v>400</v>
      </c>
      <c r="L10" s="275">
        <v>0.45</v>
      </c>
      <c r="M10" s="276">
        <v>0.68</v>
      </c>
      <c r="N10" s="276">
        <v>0.79</v>
      </c>
      <c r="O10" s="276">
        <v>0.94</v>
      </c>
      <c r="P10" s="276">
        <v>1.19</v>
      </c>
      <c r="Q10" s="276">
        <v>1.48</v>
      </c>
      <c r="R10" s="276">
        <v>1.72</v>
      </c>
      <c r="S10" s="276">
        <v>1.89</v>
      </c>
      <c r="T10" s="276">
        <v>2.12</v>
      </c>
      <c r="U10" s="277">
        <v>2.3199999999999998</v>
      </c>
    </row>
    <row r="11" spans="1:21" ht="30" x14ac:dyDescent="0.25">
      <c r="A11" s="21" t="s">
        <v>24</v>
      </c>
      <c r="B11" s="13" t="s">
        <v>71</v>
      </c>
      <c r="C11" s="4" t="s">
        <v>49</v>
      </c>
      <c r="D11" s="5">
        <v>10</v>
      </c>
      <c r="E11" s="16">
        <f>3.5</f>
        <v>3.5</v>
      </c>
      <c r="K11" s="278" t="s">
        <v>401</v>
      </c>
      <c r="L11" s="279">
        <v>0.48</v>
      </c>
      <c r="M11" s="280">
        <v>0.65</v>
      </c>
      <c r="N11" s="280">
        <v>0.73</v>
      </c>
      <c r="O11" s="280">
        <v>0.87</v>
      </c>
      <c r="P11" s="280">
        <v>1.1000000000000001</v>
      </c>
      <c r="Q11" s="280">
        <v>1.19</v>
      </c>
      <c r="R11" s="280">
        <v>1.32</v>
      </c>
      <c r="S11" s="280">
        <v>1.47</v>
      </c>
      <c r="T11" s="280">
        <v>1.58</v>
      </c>
      <c r="U11" s="281">
        <v>1.71</v>
      </c>
    </row>
    <row r="12" spans="1:21" ht="44.45" customHeight="1" x14ac:dyDescent="0.25">
      <c r="A12" s="21" t="s">
        <v>25</v>
      </c>
      <c r="B12" s="13" t="s">
        <v>11</v>
      </c>
      <c r="C12" s="4" t="s">
        <v>44</v>
      </c>
      <c r="D12" s="5">
        <v>0</v>
      </c>
      <c r="E12" s="161">
        <f>200/B4</f>
        <v>7.1428571428571432</v>
      </c>
      <c r="K12" s="282" t="s">
        <v>402</v>
      </c>
      <c r="L12" s="283">
        <v>0.2</v>
      </c>
      <c r="M12" s="284">
        <v>0.2</v>
      </c>
      <c r="N12" s="284">
        <v>0.2</v>
      </c>
      <c r="O12" s="284">
        <v>0.2</v>
      </c>
      <c r="P12" s="284">
        <v>0.2</v>
      </c>
      <c r="Q12" s="284">
        <v>0.2</v>
      </c>
      <c r="R12" s="284">
        <v>0.2</v>
      </c>
      <c r="S12" s="284">
        <v>0.2</v>
      </c>
      <c r="T12" s="284">
        <v>0.2</v>
      </c>
      <c r="U12" s="285">
        <v>0.2</v>
      </c>
    </row>
    <row r="13" spans="1:21" ht="30.75" thickBot="1" x14ac:dyDescent="0.3">
      <c r="A13" s="24" t="s">
        <v>26</v>
      </c>
      <c r="B13" s="25" t="s">
        <v>15</v>
      </c>
      <c r="C13" s="26" t="s">
        <v>54</v>
      </c>
      <c r="D13" s="27" t="s">
        <v>34</v>
      </c>
      <c r="E13" s="28" t="s">
        <v>34</v>
      </c>
      <c r="K13" s="278" t="s">
        <v>403</v>
      </c>
      <c r="L13" s="279">
        <v>0.28000000000000003</v>
      </c>
      <c r="M13" s="280">
        <v>0.33</v>
      </c>
      <c r="N13" s="280">
        <v>0.45</v>
      </c>
      <c r="O13" s="280">
        <v>0.56000000000000005</v>
      </c>
      <c r="P13" s="280">
        <v>0.72</v>
      </c>
      <c r="Q13" s="280">
        <v>0.86</v>
      </c>
      <c r="R13" s="280">
        <v>1.02</v>
      </c>
      <c r="S13" s="280">
        <v>1.1599999999999999</v>
      </c>
      <c r="T13" s="280">
        <v>1.28</v>
      </c>
      <c r="U13" s="281">
        <v>1.37</v>
      </c>
    </row>
    <row r="14" spans="1:21" ht="24" thickBot="1" x14ac:dyDescent="0.4">
      <c r="A14" s="321" t="s">
        <v>404</v>
      </c>
      <c r="B14" s="322"/>
      <c r="C14" s="322"/>
      <c r="D14" s="322"/>
      <c r="E14" s="322"/>
      <c r="H14" s="286" t="s">
        <v>405</v>
      </c>
      <c r="I14" s="287">
        <f>E7+E8+E9+E10+E11+E12</f>
        <v>20.842857142857142</v>
      </c>
      <c r="K14" s="282" t="s">
        <v>406</v>
      </c>
      <c r="L14" s="283">
        <v>0.34</v>
      </c>
      <c r="M14" s="284">
        <v>0.61</v>
      </c>
      <c r="N14" s="284">
        <v>0.76</v>
      </c>
      <c r="O14" s="284">
        <v>0.96</v>
      </c>
      <c r="P14" s="284">
        <v>1.1599999999999999</v>
      </c>
      <c r="Q14" s="284">
        <v>1.43</v>
      </c>
      <c r="R14" s="284">
        <v>1.65</v>
      </c>
      <c r="S14" s="284">
        <v>1.91</v>
      </c>
      <c r="T14" s="284">
        <v>2.09</v>
      </c>
      <c r="U14" s="285">
        <v>2.25</v>
      </c>
    </row>
    <row r="15" spans="1:21" ht="15.75" thickBot="1" x14ac:dyDescent="0.3">
      <c r="K15" s="288" t="s">
        <v>407</v>
      </c>
      <c r="L15" s="289">
        <v>0.22</v>
      </c>
      <c r="M15" s="290">
        <v>0.38</v>
      </c>
      <c r="N15" s="290">
        <v>0.52</v>
      </c>
      <c r="O15" s="290">
        <v>0.68</v>
      </c>
      <c r="P15" s="290">
        <v>0.97</v>
      </c>
      <c r="Q15" s="290">
        <v>1.36</v>
      </c>
      <c r="R15" s="290">
        <v>1.89</v>
      </c>
      <c r="S15" s="290">
        <v>2.52</v>
      </c>
      <c r="T15" s="290">
        <v>2.5499999999999998</v>
      </c>
      <c r="U15" s="291">
        <v>3</v>
      </c>
    </row>
    <row r="16" spans="1:21" ht="15.75" thickBot="1" x14ac:dyDescent="0.3">
      <c r="K16" s="292"/>
      <c r="L16" s="293"/>
      <c r="M16" s="294"/>
      <c r="N16" s="294"/>
      <c r="O16" s="294"/>
      <c r="P16" s="294"/>
      <c r="Q16" s="294"/>
      <c r="R16" s="294"/>
      <c r="S16" s="294"/>
      <c r="T16" s="294"/>
      <c r="U16" s="295"/>
    </row>
    <row r="17" spans="5:30" ht="15.75" thickBot="1" x14ac:dyDescent="0.3">
      <c r="E17" s="296" t="s">
        <v>408</v>
      </c>
      <c r="F17" s="297"/>
      <c r="K17" s="298" t="s">
        <v>409</v>
      </c>
      <c r="L17" s="299" t="s">
        <v>410</v>
      </c>
      <c r="M17" s="300" t="s">
        <v>411</v>
      </c>
      <c r="N17" s="300" t="s">
        <v>412</v>
      </c>
      <c r="O17" s="300" t="s">
        <v>413</v>
      </c>
      <c r="P17" s="300" t="s">
        <v>414</v>
      </c>
      <c r="Q17" s="300" t="s">
        <v>415</v>
      </c>
      <c r="R17" s="300" t="s">
        <v>416</v>
      </c>
      <c r="S17" s="300" t="s">
        <v>417</v>
      </c>
      <c r="T17" s="300" t="s">
        <v>418</v>
      </c>
      <c r="U17" s="301" t="s">
        <v>419</v>
      </c>
    </row>
    <row r="18" spans="5:30" x14ac:dyDescent="0.25">
      <c r="E18" s="302" t="s">
        <v>420</v>
      </c>
      <c r="F18" s="303"/>
      <c r="I18" s="156"/>
      <c r="J18" s="33"/>
      <c r="K18" s="33"/>
      <c r="L18" s="33"/>
      <c r="M18" s="33"/>
    </row>
    <row r="19" spans="5:30" x14ac:dyDescent="0.25">
      <c r="I19" s="156"/>
      <c r="J19" s="33"/>
      <c r="K19" s="33"/>
      <c r="L19" s="33"/>
      <c r="M19" s="156"/>
    </row>
    <row r="20" spans="5:30" x14ac:dyDescent="0.25">
      <c r="I20" s="156"/>
      <c r="J20" s="156"/>
      <c r="K20" s="34"/>
      <c r="L20" s="156"/>
      <c r="M20" s="156"/>
    </row>
    <row r="21" spans="5:30" ht="15.75" thickBot="1" x14ac:dyDescent="0.3">
      <c r="I21" s="156"/>
      <c r="J21" s="156"/>
      <c r="K21" s="156"/>
      <c r="L21" s="35"/>
      <c r="M21" s="156"/>
    </row>
    <row r="22" spans="5:30" x14ac:dyDescent="0.25">
      <c r="I22" s="156"/>
      <c r="J22" s="156"/>
      <c r="K22" s="34"/>
      <c r="L22" s="34"/>
      <c r="M22" s="34"/>
      <c r="V22" s="323" t="s">
        <v>132</v>
      </c>
      <c r="W22" s="324"/>
      <c r="X22" s="324"/>
      <c r="Y22" s="324"/>
      <c r="Z22" s="324"/>
      <c r="AA22" s="324"/>
      <c r="AB22" s="327" t="s">
        <v>136</v>
      </c>
      <c r="AC22" s="324">
        <v>2</v>
      </c>
      <c r="AD22" s="316"/>
    </row>
    <row r="23" spans="5:30" ht="15.75" thickBot="1" x14ac:dyDescent="0.3">
      <c r="I23" s="156"/>
      <c r="J23" s="156"/>
      <c r="K23" s="156"/>
      <c r="L23" s="156"/>
      <c r="M23" s="34"/>
      <c r="V23" s="325"/>
      <c r="W23" s="326"/>
      <c r="X23" s="326"/>
      <c r="Y23" s="326"/>
      <c r="Z23" s="326"/>
      <c r="AA23" s="326"/>
      <c r="AB23" s="328"/>
      <c r="AC23" s="326"/>
      <c r="AD23" s="317"/>
    </row>
    <row r="24" spans="5:30" ht="93.75" thickBot="1" x14ac:dyDescent="0.4">
      <c r="V24" s="74"/>
      <c r="W24" s="75" t="s">
        <v>17</v>
      </c>
      <c r="X24" s="56" t="s">
        <v>18</v>
      </c>
      <c r="Y24" s="56" t="s">
        <v>135</v>
      </c>
      <c r="Z24" s="56" t="s">
        <v>134</v>
      </c>
      <c r="AA24" s="56" t="s">
        <v>154</v>
      </c>
      <c r="AB24" s="255" t="s">
        <v>191</v>
      </c>
      <c r="AC24" s="255" t="s">
        <v>192</v>
      </c>
      <c r="AD24" s="256" t="s">
        <v>181</v>
      </c>
    </row>
    <row r="25" spans="5:30" ht="24" thickBot="1" x14ac:dyDescent="0.3">
      <c r="M25" s="34"/>
      <c r="V25" s="21" t="s">
        <v>19</v>
      </c>
      <c r="W25" s="13" t="s">
        <v>14</v>
      </c>
      <c r="X25" s="84" t="s">
        <v>34</v>
      </c>
      <c r="Y25" s="6" t="s">
        <v>34</v>
      </c>
      <c r="Z25" s="6" t="s">
        <v>34</v>
      </c>
      <c r="AA25" s="73" t="s">
        <v>34</v>
      </c>
      <c r="AB25" s="257" t="s">
        <v>34</v>
      </c>
      <c r="AC25" s="258" t="s">
        <v>34</v>
      </c>
      <c r="AD25" s="259" t="s">
        <v>34</v>
      </c>
    </row>
    <row r="26" spans="5:30" ht="24" thickBot="1" x14ac:dyDescent="0.3">
      <c r="M26" s="36"/>
      <c r="V26" s="21" t="s">
        <v>20</v>
      </c>
      <c r="W26" s="13" t="s">
        <v>8</v>
      </c>
      <c r="X26" s="84">
        <v>25</v>
      </c>
      <c r="Y26" s="6">
        <v>2</v>
      </c>
      <c r="Z26" s="6">
        <v>2</v>
      </c>
      <c r="AA26" s="61">
        <f>$AC$22*X26</f>
        <v>50</v>
      </c>
      <c r="AB26" s="260">
        <f>Z26*$B$2+AA26</f>
        <v>472</v>
      </c>
      <c r="AC26" s="260">
        <f>Z26*$B$2+AA26</f>
        <v>472</v>
      </c>
      <c r="AD26" s="262">
        <f>AB26+AC26</f>
        <v>944</v>
      </c>
    </row>
    <row r="27" spans="5:30" ht="24" thickBot="1" x14ac:dyDescent="0.3">
      <c r="M27" s="37"/>
      <c r="V27" s="21" t="s">
        <v>21</v>
      </c>
      <c r="W27" s="13" t="s">
        <v>7</v>
      </c>
      <c r="X27" s="84">
        <v>25</v>
      </c>
      <c r="Y27" s="15">
        <v>2.2000000000000002</v>
      </c>
      <c r="Z27" s="15">
        <v>2.2000000000000002</v>
      </c>
      <c r="AA27" s="61">
        <f t="shared" ref="AA27:AA30" si="0">$AC$22*X27</f>
        <v>50</v>
      </c>
      <c r="AB27" s="260">
        <f t="shared" ref="AB27:AB30" si="1">Z27*$B$2+AA27</f>
        <v>514.20000000000005</v>
      </c>
      <c r="AC27" s="260">
        <f t="shared" ref="AC27:AC31" si="2">Z27*$B$2+AA27</f>
        <v>514.20000000000005</v>
      </c>
      <c r="AD27" s="262">
        <f t="shared" ref="AD27:AD29" si="3">AB27+AC27</f>
        <v>1028.4000000000001</v>
      </c>
    </row>
    <row r="28" spans="5:30" ht="24" thickBot="1" x14ac:dyDescent="0.3">
      <c r="V28" s="21" t="s">
        <v>22</v>
      </c>
      <c r="W28" s="13" t="s">
        <v>5</v>
      </c>
      <c r="X28" s="84">
        <v>100</v>
      </c>
      <c r="Y28" s="15">
        <v>3</v>
      </c>
      <c r="Z28" s="15">
        <v>3</v>
      </c>
      <c r="AA28" s="61">
        <f t="shared" si="0"/>
        <v>200</v>
      </c>
      <c r="AB28" s="260">
        <f t="shared" si="1"/>
        <v>833</v>
      </c>
      <c r="AC28" s="260">
        <f t="shared" si="2"/>
        <v>833</v>
      </c>
      <c r="AD28" s="262">
        <f t="shared" si="3"/>
        <v>1666</v>
      </c>
    </row>
    <row r="29" spans="5:30" ht="24" thickBot="1" x14ac:dyDescent="0.3">
      <c r="V29" s="21" t="s">
        <v>23</v>
      </c>
      <c r="W29" s="13" t="s">
        <v>1</v>
      </c>
      <c r="X29" s="84">
        <v>10</v>
      </c>
      <c r="Y29" s="15">
        <v>3</v>
      </c>
      <c r="Z29" s="15">
        <v>3</v>
      </c>
      <c r="AA29" s="61">
        <f t="shared" si="0"/>
        <v>20</v>
      </c>
      <c r="AB29" s="260">
        <f t="shared" si="1"/>
        <v>653</v>
      </c>
      <c r="AC29" s="260">
        <f t="shared" si="2"/>
        <v>653</v>
      </c>
      <c r="AD29" s="262">
        <f t="shared" si="3"/>
        <v>1306</v>
      </c>
    </row>
    <row r="30" spans="5:30" ht="24" thickBot="1" x14ac:dyDescent="0.3">
      <c r="V30" s="21" t="s">
        <v>24</v>
      </c>
      <c r="W30" s="13" t="s">
        <v>71</v>
      </c>
      <c r="X30" s="84">
        <v>10</v>
      </c>
      <c r="Y30" s="16">
        <f>$E$11</f>
        <v>3.5</v>
      </c>
      <c r="Z30" s="16">
        <f>E11</f>
        <v>3.5</v>
      </c>
      <c r="AA30" s="61">
        <f t="shared" si="0"/>
        <v>20</v>
      </c>
      <c r="AB30" s="260">
        <f t="shared" si="1"/>
        <v>758.5</v>
      </c>
      <c r="AC30" s="260">
        <f t="shared" si="2"/>
        <v>758.5</v>
      </c>
      <c r="AD30" s="262">
        <f>AB30+AC30</f>
        <v>1517</v>
      </c>
    </row>
    <row r="31" spans="5:30" ht="24" thickBot="1" x14ac:dyDescent="0.3">
      <c r="I31" s="156"/>
      <c r="J31" s="33"/>
      <c r="K31" s="33"/>
      <c r="L31" s="33"/>
      <c r="M31" s="33"/>
      <c r="V31" s="21" t="s">
        <v>25</v>
      </c>
      <c r="W31" s="13" t="s">
        <v>11</v>
      </c>
      <c r="X31" s="84">
        <v>0</v>
      </c>
      <c r="Y31" s="161">
        <f>$E$12</f>
        <v>7.1428571428571432</v>
      </c>
      <c r="Z31" s="161">
        <f>E12</f>
        <v>7.1428571428571432</v>
      </c>
      <c r="AA31" s="61">
        <f>$AC$22*X31</f>
        <v>0</v>
      </c>
      <c r="AB31" s="260">
        <f>Z31*$B$2+AA31</f>
        <v>1507.1428571428571</v>
      </c>
      <c r="AC31" s="260">
        <f t="shared" si="2"/>
        <v>1507.1428571428571</v>
      </c>
      <c r="AD31" s="262">
        <f>AB31+AC31</f>
        <v>3014.2857142857142</v>
      </c>
    </row>
    <row r="32" spans="5:30" ht="24" thickBot="1" x14ac:dyDescent="0.3">
      <c r="I32" s="156"/>
      <c r="J32" s="33"/>
      <c r="K32" s="33"/>
      <c r="L32" s="33"/>
      <c r="M32" s="156"/>
      <c r="V32" s="24" t="s">
        <v>26</v>
      </c>
      <c r="W32" s="25" t="s">
        <v>15</v>
      </c>
      <c r="X32" s="91" t="s">
        <v>34</v>
      </c>
      <c r="Y32" s="28" t="s">
        <v>34</v>
      </c>
      <c r="Z32" s="28" t="s">
        <v>34</v>
      </c>
      <c r="AA32" s="61" t="s">
        <v>34</v>
      </c>
      <c r="AB32" s="260" t="s">
        <v>34</v>
      </c>
      <c r="AC32" s="266" t="s">
        <v>34</v>
      </c>
      <c r="AD32" s="259" t="s">
        <v>34</v>
      </c>
    </row>
    <row r="33" spans="9:13" x14ac:dyDescent="0.25">
      <c r="I33" s="32"/>
      <c r="J33" s="32"/>
      <c r="K33" s="34"/>
      <c r="L33" s="32"/>
      <c r="M33" s="32"/>
    </row>
    <row r="34" spans="9:13" x14ac:dyDescent="0.25">
      <c r="I34" s="32"/>
      <c r="J34" s="32"/>
      <c r="K34" s="32"/>
      <c r="L34" s="32"/>
      <c r="M34" s="34"/>
    </row>
    <row r="36" spans="9:13" x14ac:dyDescent="0.25">
      <c r="M36" s="34"/>
    </row>
    <row r="37" spans="9:13" x14ac:dyDescent="0.25">
      <c r="M37" s="36"/>
    </row>
    <row r="38" spans="9:13" x14ac:dyDescent="0.25">
      <c r="M38" s="37"/>
    </row>
  </sheetData>
  <mergeCells count="7">
    <mergeCell ref="AC22:AC23"/>
    <mergeCell ref="AD22:AD23"/>
    <mergeCell ref="A1:C1"/>
    <mergeCell ref="A14:E14"/>
    <mergeCell ref="K8:U8"/>
    <mergeCell ref="V22:AA23"/>
    <mergeCell ref="AB22:AB2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topLeftCell="A12" zoomScale="40" zoomScaleNormal="40" workbookViewId="0">
      <selection activeCell="H41" sqref="H41"/>
    </sheetView>
  </sheetViews>
  <sheetFormatPr baseColWidth="10" defaultRowHeight="15" x14ac:dyDescent="0.25"/>
  <cols>
    <col min="1" max="1" width="25.7109375" customWidth="1"/>
    <col min="2" max="2" width="46.28515625" customWidth="1"/>
    <col min="3" max="3" width="60.7109375" customWidth="1"/>
    <col min="4" max="4" width="47.5703125" customWidth="1"/>
    <col min="5" max="5" width="30.85546875" customWidth="1"/>
    <col min="6" max="6" width="34.28515625" customWidth="1"/>
    <col min="7" max="7" width="60.7109375" customWidth="1"/>
    <col min="8" max="8" width="43.28515625" customWidth="1"/>
    <col min="9" max="9" width="40.5703125" customWidth="1"/>
  </cols>
  <sheetData>
    <row r="1" spans="1:9" ht="42.75" thickBot="1" x14ac:dyDescent="0.3">
      <c r="A1" s="323" t="s">
        <v>67</v>
      </c>
      <c r="B1" s="331"/>
      <c r="C1" s="332"/>
      <c r="D1" s="11" t="s">
        <v>12</v>
      </c>
      <c r="E1" s="18" t="s">
        <v>28</v>
      </c>
    </row>
    <row r="2" spans="1:9" ht="32.25" thickBot="1" x14ac:dyDescent="0.3">
      <c r="A2" s="77"/>
      <c r="B2" s="78" t="s">
        <v>151</v>
      </c>
      <c r="C2" s="78" t="s">
        <v>152</v>
      </c>
      <c r="D2" s="55"/>
      <c r="E2" s="76"/>
    </row>
    <row r="3" spans="1:9" ht="27" thickBot="1" x14ac:dyDescent="0.45">
      <c r="A3" s="80" t="s">
        <v>39</v>
      </c>
      <c r="B3" s="79">
        <f>$A$21</f>
        <v>72</v>
      </c>
      <c r="C3" s="79">
        <f>$C$21</f>
        <v>168</v>
      </c>
      <c r="D3" s="7"/>
      <c r="E3" s="8"/>
      <c r="G3" s="347" t="s">
        <v>157</v>
      </c>
      <c r="H3" s="347"/>
      <c r="I3" s="347"/>
    </row>
    <row r="4" spans="1:9" ht="27" thickBot="1" x14ac:dyDescent="0.45">
      <c r="A4" s="80" t="s">
        <v>38</v>
      </c>
      <c r="B4" s="79">
        <f>$A$24</f>
        <v>72</v>
      </c>
      <c r="C4" s="79">
        <f>$C$24</f>
        <v>112</v>
      </c>
      <c r="D4" s="7"/>
      <c r="E4" s="8"/>
      <c r="G4" s="347"/>
      <c r="H4" s="347"/>
      <c r="I4" s="347"/>
    </row>
    <row r="5" spans="1:9" ht="27" thickBot="1" x14ac:dyDescent="0.45">
      <c r="A5" s="80" t="s">
        <v>16</v>
      </c>
      <c r="B5" s="79">
        <f>$A$24</f>
        <v>72</v>
      </c>
      <c r="C5" s="79">
        <f>$C$24</f>
        <v>112</v>
      </c>
      <c r="D5" s="9"/>
      <c r="E5" s="10"/>
      <c r="G5" s="45" t="s">
        <v>158</v>
      </c>
      <c r="H5" s="46">
        <v>54</v>
      </c>
      <c r="I5" s="46" t="s">
        <v>100</v>
      </c>
    </row>
    <row r="6" spans="1:9" ht="84.75" x14ac:dyDescent="0.35">
      <c r="A6" s="1"/>
      <c r="B6" s="22" t="s">
        <v>17</v>
      </c>
      <c r="C6" s="22" t="s">
        <v>37</v>
      </c>
      <c r="D6" s="19" t="s">
        <v>18</v>
      </c>
      <c r="E6" s="20" t="s">
        <v>50</v>
      </c>
      <c r="G6" s="45" t="s">
        <v>159</v>
      </c>
      <c r="H6" s="46">
        <v>78</v>
      </c>
      <c r="I6" s="46" t="s">
        <v>100</v>
      </c>
    </row>
    <row r="7" spans="1:9" ht="33" x14ac:dyDescent="0.35">
      <c r="A7" s="21" t="s">
        <v>19</v>
      </c>
      <c r="B7" s="13" t="s">
        <v>14</v>
      </c>
      <c r="C7" s="109" t="s">
        <v>164</v>
      </c>
      <c r="D7" s="110" t="s">
        <v>34</v>
      </c>
      <c r="E7" s="111" t="s">
        <v>34</v>
      </c>
      <c r="G7" s="45" t="s">
        <v>160</v>
      </c>
      <c r="H7" s="46">
        <v>1.5</v>
      </c>
      <c r="I7" s="46" t="s">
        <v>100</v>
      </c>
    </row>
    <row r="8" spans="1:9" ht="33" x14ac:dyDescent="0.35">
      <c r="A8" s="21" t="s">
        <v>20</v>
      </c>
      <c r="B8" s="13" t="s">
        <v>8</v>
      </c>
      <c r="C8" s="109" t="s">
        <v>165</v>
      </c>
      <c r="D8" s="110">
        <v>25</v>
      </c>
      <c r="E8" s="111">
        <v>2</v>
      </c>
      <c r="G8" s="46" t="s">
        <v>161</v>
      </c>
      <c r="H8" s="46">
        <v>3</v>
      </c>
      <c r="I8" s="46" t="s">
        <v>100</v>
      </c>
    </row>
    <row r="9" spans="1:9" ht="64.5" x14ac:dyDescent="0.35">
      <c r="A9" s="21" t="s">
        <v>21</v>
      </c>
      <c r="B9" s="13" t="s">
        <v>9</v>
      </c>
      <c r="C9" s="109" t="s">
        <v>166</v>
      </c>
      <c r="D9" s="110">
        <v>100</v>
      </c>
      <c r="E9" s="112" t="s">
        <v>183</v>
      </c>
      <c r="G9" s="46" t="s">
        <v>162</v>
      </c>
      <c r="H9" s="46">
        <f>$H$5+23+2*$H$7+$H$8</f>
        <v>83</v>
      </c>
      <c r="I9" s="46" t="s">
        <v>100</v>
      </c>
    </row>
    <row r="10" spans="1:9" ht="80.25" x14ac:dyDescent="0.35">
      <c r="A10" s="21" t="s">
        <v>22</v>
      </c>
      <c r="B10" s="13" t="s">
        <v>10</v>
      </c>
      <c r="C10" s="109" t="s">
        <v>167</v>
      </c>
      <c r="D10" s="110">
        <v>100</v>
      </c>
      <c r="E10" s="112" t="s">
        <v>183</v>
      </c>
      <c r="G10" s="46" t="s">
        <v>163</v>
      </c>
      <c r="H10" s="46">
        <f>$H$6+23+2*$H$7+$H$8</f>
        <v>107</v>
      </c>
      <c r="I10" s="46" t="s">
        <v>100</v>
      </c>
    </row>
    <row r="11" spans="1:9" ht="31.5" x14ac:dyDescent="0.25">
      <c r="A11" s="21" t="s">
        <v>23</v>
      </c>
      <c r="B11" s="13" t="s">
        <v>1</v>
      </c>
      <c r="C11" s="109" t="s">
        <v>168</v>
      </c>
      <c r="D11" s="110">
        <v>10</v>
      </c>
      <c r="E11" s="111">
        <v>6</v>
      </c>
    </row>
    <row r="12" spans="1:9" ht="47.25" x14ac:dyDescent="0.25">
      <c r="A12" s="21" t="s">
        <v>24</v>
      </c>
      <c r="B12" s="13" t="s">
        <v>11</v>
      </c>
      <c r="C12" s="109" t="s">
        <v>169</v>
      </c>
      <c r="D12" s="110">
        <v>0</v>
      </c>
      <c r="E12" s="112" t="s">
        <v>193</v>
      </c>
    </row>
    <row r="13" spans="1:9" ht="32.25" thickBot="1" x14ac:dyDescent="0.3">
      <c r="A13" s="24" t="s">
        <v>25</v>
      </c>
      <c r="B13" s="25" t="s">
        <v>15</v>
      </c>
      <c r="C13" s="113" t="s">
        <v>170</v>
      </c>
      <c r="D13" s="114" t="s">
        <v>34</v>
      </c>
      <c r="E13" s="115" t="s">
        <v>34</v>
      </c>
    </row>
    <row r="14" spans="1:9" ht="23.25" x14ac:dyDescent="0.35">
      <c r="A14" s="321"/>
      <c r="B14" s="322"/>
      <c r="C14" s="322"/>
      <c r="D14" s="322"/>
      <c r="E14" s="322"/>
    </row>
    <row r="16" spans="1:9" ht="15" customHeight="1" x14ac:dyDescent="0.45">
      <c r="H16" s="53"/>
      <c r="I16" s="53"/>
    </row>
    <row r="17" spans="1:9" ht="31.5" x14ac:dyDescent="0.5">
      <c r="A17" s="333" t="s">
        <v>91</v>
      </c>
      <c r="B17" s="346"/>
      <c r="C17" s="346"/>
      <c r="D17" s="346"/>
      <c r="G17" s="330" t="s">
        <v>127</v>
      </c>
      <c r="H17" s="330"/>
      <c r="I17" s="53"/>
    </row>
    <row r="18" spans="1:9" ht="21" x14ac:dyDescent="0.35">
      <c r="A18" s="49">
        <v>71</v>
      </c>
      <c r="B18" s="49" t="s">
        <v>81</v>
      </c>
      <c r="C18" s="49">
        <v>140</v>
      </c>
      <c r="D18" s="49" t="s">
        <v>82</v>
      </c>
      <c r="G18" s="50" t="s">
        <v>171</v>
      </c>
    </row>
    <row r="19" spans="1:9" ht="21" x14ac:dyDescent="0.35">
      <c r="A19" s="49">
        <v>72</v>
      </c>
      <c r="B19" s="49" t="s">
        <v>86</v>
      </c>
      <c r="C19" s="49">
        <v>56</v>
      </c>
      <c r="D19" s="49" t="s">
        <v>86</v>
      </c>
      <c r="G19" s="48" t="s">
        <v>172</v>
      </c>
      <c r="H19" s="48">
        <v>1</v>
      </c>
      <c r="I19" s="48"/>
    </row>
    <row r="20" spans="1:9" ht="21" x14ac:dyDescent="0.35">
      <c r="A20" s="49">
        <f>ROUNDUP($A$18/$A$19,0)</f>
        <v>1</v>
      </c>
      <c r="B20" s="49" t="s">
        <v>87</v>
      </c>
      <c r="C20" s="49">
        <f>ROUNDUP($C$18/$C$19,0)</f>
        <v>3</v>
      </c>
      <c r="D20" s="49" t="s">
        <v>87</v>
      </c>
      <c r="G20" s="116" t="s">
        <v>173</v>
      </c>
      <c r="H20" s="116">
        <v>0.8</v>
      </c>
      <c r="I20" s="48"/>
    </row>
    <row r="21" spans="1:9" ht="21" x14ac:dyDescent="0.35">
      <c r="A21" s="49">
        <f>$A$19*$A$20</f>
        <v>72</v>
      </c>
      <c r="B21" s="49" t="s">
        <v>89</v>
      </c>
      <c r="C21" s="49">
        <f>$C$19*$C$20</f>
        <v>168</v>
      </c>
      <c r="D21" s="49" t="s">
        <v>90</v>
      </c>
      <c r="G21" s="48" t="s">
        <v>175</v>
      </c>
      <c r="H21" s="116">
        <v>0.5</v>
      </c>
      <c r="I21" s="48"/>
    </row>
    <row r="22" spans="1:9" ht="21" x14ac:dyDescent="0.35">
      <c r="A22" s="49">
        <v>35</v>
      </c>
      <c r="B22" s="49" t="s">
        <v>147</v>
      </c>
      <c r="C22" s="49">
        <v>70</v>
      </c>
      <c r="D22" s="49" t="s">
        <v>148</v>
      </c>
      <c r="G22" s="48" t="s">
        <v>176</v>
      </c>
      <c r="H22" s="48">
        <v>0.8</v>
      </c>
      <c r="I22" s="48"/>
    </row>
    <row r="23" spans="1:9" ht="21" x14ac:dyDescent="0.35">
      <c r="A23" s="49">
        <f>ROUNDUP($A$22/$A$19,0)</f>
        <v>1</v>
      </c>
      <c r="B23" s="49" t="s">
        <v>149</v>
      </c>
      <c r="C23" s="49">
        <f>ROUNDUP($C$22/$C$19,0)</f>
        <v>2</v>
      </c>
      <c r="D23" s="49" t="s">
        <v>149</v>
      </c>
      <c r="G23" s="48" t="s">
        <v>177</v>
      </c>
      <c r="H23" s="48">
        <v>1.2</v>
      </c>
      <c r="I23" s="48"/>
    </row>
    <row r="24" spans="1:9" ht="21" x14ac:dyDescent="0.35">
      <c r="A24" s="49">
        <f>$A$19*$A$23</f>
        <v>72</v>
      </c>
      <c r="B24" s="49" t="s">
        <v>150</v>
      </c>
      <c r="C24" s="49">
        <f>$C$19*$C$23</f>
        <v>112</v>
      </c>
      <c r="D24" s="49" t="s">
        <v>180</v>
      </c>
      <c r="G24" s="48" t="s">
        <v>178</v>
      </c>
      <c r="H24" s="48">
        <v>1</v>
      </c>
      <c r="I24" s="48"/>
    </row>
    <row r="25" spans="1:9" ht="21" x14ac:dyDescent="0.35">
      <c r="G25" s="48" t="s">
        <v>184</v>
      </c>
      <c r="H25" s="48">
        <v>3.2</v>
      </c>
      <c r="I25" s="48"/>
    </row>
    <row r="26" spans="1:9" ht="21" x14ac:dyDescent="0.35">
      <c r="G26" s="48" t="s">
        <v>179</v>
      </c>
      <c r="H26" s="48">
        <v>0.5</v>
      </c>
      <c r="I26" s="48"/>
    </row>
    <row r="27" spans="1:9" ht="21" x14ac:dyDescent="0.35">
      <c r="G27" s="51" t="s">
        <v>182</v>
      </c>
      <c r="H27" s="48">
        <f>SUM(H19:H26)</f>
        <v>9</v>
      </c>
      <c r="I27" s="48"/>
    </row>
    <row r="28" spans="1:9" ht="21" x14ac:dyDescent="0.35">
      <c r="G28" s="50" t="s">
        <v>174</v>
      </c>
      <c r="H28" s="48"/>
      <c r="I28" s="48"/>
    </row>
    <row r="29" spans="1:9" ht="21" x14ac:dyDescent="0.35">
      <c r="G29" s="48" t="s">
        <v>172</v>
      </c>
      <c r="H29" s="48">
        <v>1</v>
      </c>
      <c r="I29" s="48"/>
    </row>
    <row r="30" spans="1:9" ht="21" x14ac:dyDescent="0.35">
      <c r="G30" s="116" t="s">
        <v>173</v>
      </c>
      <c r="H30" s="116">
        <v>0.8</v>
      </c>
      <c r="I30" s="48"/>
    </row>
    <row r="31" spans="1:9" ht="21" x14ac:dyDescent="0.35">
      <c r="G31" s="48" t="s">
        <v>175</v>
      </c>
      <c r="H31" s="116">
        <v>0.5</v>
      </c>
      <c r="I31" s="48"/>
    </row>
    <row r="32" spans="1:9" ht="21" x14ac:dyDescent="0.35">
      <c r="G32" s="48" t="s">
        <v>176</v>
      </c>
      <c r="H32" s="48">
        <v>0.8</v>
      </c>
      <c r="I32" s="48"/>
    </row>
    <row r="33" spans="1:9" ht="21" x14ac:dyDescent="0.35">
      <c r="G33" s="48" t="s">
        <v>177</v>
      </c>
      <c r="H33" s="48">
        <v>1.2</v>
      </c>
      <c r="I33" s="48"/>
    </row>
    <row r="34" spans="1:9" ht="21" x14ac:dyDescent="0.35">
      <c r="G34" s="48" t="s">
        <v>178</v>
      </c>
      <c r="H34" s="48">
        <v>1</v>
      </c>
      <c r="I34" s="48"/>
    </row>
    <row r="35" spans="1:9" ht="21" x14ac:dyDescent="0.35">
      <c r="G35" s="48" t="s">
        <v>184</v>
      </c>
      <c r="H35" s="48">
        <v>3.2</v>
      </c>
      <c r="I35" s="48"/>
    </row>
    <row r="36" spans="1:9" ht="21" x14ac:dyDescent="0.35">
      <c r="G36" s="48" t="s">
        <v>179</v>
      </c>
      <c r="H36" s="48">
        <v>0.5</v>
      </c>
      <c r="I36" s="48"/>
    </row>
    <row r="37" spans="1:9" ht="21" x14ac:dyDescent="0.35">
      <c r="G37" s="51" t="s">
        <v>182</v>
      </c>
      <c r="H37" s="48">
        <f>SUM(H29:H36)</f>
        <v>9</v>
      </c>
      <c r="I37" s="48"/>
    </row>
    <row r="38" spans="1:9" ht="21" x14ac:dyDescent="0.35">
      <c r="G38" s="50" t="s">
        <v>124</v>
      </c>
      <c r="H38" s="48"/>
      <c r="I38" s="48"/>
    </row>
    <row r="39" spans="1:9" ht="21" x14ac:dyDescent="0.35">
      <c r="G39" s="48" t="s">
        <v>129</v>
      </c>
      <c r="H39" s="48"/>
      <c r="I39" s="48"/>
    </row>
    <row r="40" spans="1:9" ht="21" x14ac:dyDescent="0.35">
      <c r="G40" s="48" t="s">
        <v>130</v>
      </c>
      <c r="H40" s="48">
        <f>200/$A$24</f>
        <v>2.7777777777777777</v>
      </c>
      <c r="I40" s="48"/>
    </row>
    <row r="41" spans="1:9" ht="21" x14ac:dyDescent="0.35">
      <c r="G41" s="48" t="s">
        <v>131</v>
      </c>
      <c r="H41" s="48">
        <f>200/$C$24</f>
        <v>1.7857142857142858</v>
      </c>
      <c r="I41" s="48"/>
    </row>
    <row r="42" spans="1:9" ht="21.75" thickBot="1" x14ac:dyDescent="0.4">
      <c r="G42" s="48"/>
      <c r="H42" s="48"/>
      <c r="I42" s="48"/>
    </row>
    <row r="43" spans="1:9" x14ac:dyDescent="0.25">
      <c r="A43" s="323" t="s">
        <v>132</v>
      </c>
      <c r="B43" s="324"/>
      <c r="C43" s="324"/>
      <c r="D43" s="324"/>
      <c r="E43" s="324"/>
      <c r="F43" s="324"/>
      <c r="G43" s="327" t="s">
        <v>136</v>
      </c>
      <c r="H43" s="324">
        <f>$B$3/$B$5+$C$3/$C$5</f>
        <v>2.5</v>
      </c>
      <c r="I43" s="316"/>
    </row>
    <row r="44" spans="1:9" ht="15.75" thickBot="1" x14ac:dyDescent="0.3">
      <c r="A44" s="325"/>
      <c r="B44" s="334"/>
      <c r="C44" s="334"/>
      <c r="D44" s="334"/>
      <c r="E44" s="334"/>
      <c r="F44" s="334"/>
      <c r="G44" s="328"/>
      <c r="H44" s="334"/>
      <c r="I44" s="317"/>
    </row>
    <row r="45" spans="1:9" ht="69.95" customHeight="1" thickBot="1" x14ac:dyDescent="0.4">
      <c r="A45" s="74"/>
      <c r="B45" s="75" t="s">
        <v>17</v>
      </c>
      <c r="C45" s="56" t="s">
        <v>18</v>
      </c>
      <c r="D45" s="56" t="s">
        <v>135</v>
      </c>
      <c r="E45" s="56" t="s">
        <v>134</v>
      </c>
      <c r="F45" s="56" t="s">
        <v>154</v>
      </c>
      <c r="G45" s="100" t="s">
        <v>191</v>
      </c>
      <c r="H45" s="100" t="s">
        <v>192</v>
      </c>
      <c r="I45" s="118" t="s">
        <v>181</v>
      </c>
    </row>
    <row r="46" spans="1:9" ht="50.1" customHeight="1" thickBot="1" x14ac:dyDescent="0.3">
      <c r="A46" s="69" t="s">
        <v>19</v>
      </c>
      <c r="B46" s="70" t="s">
        <v>14</v>
      </c>
      <c r="C46" s="71" t="s">
        <v>34</v>
      </c>
      <c r="D46" s="71" t="s">
        <v>34</v>
      </c>
      <c r="E46" s="72" t="s">
        <v>34</v>
      </c>
      <c r="F46" s="73" t="s">
        <v>34</v>
      </c>
      <c r="G46" s="101" t="s">
        <v>34</v>
      </c>
      <c r="H46" s="102" t="s">
        <v>34</v>
      </c>
      <c r="I46" s="119" t="s">
        <v>34</v>
      </c>
    </row>
    <row r="47" spans="1:9" ht="50.1" customHeight="1" thickBot="1" x14ac:dyDescent="0.3">
      <c r="A47" s="57" t="s">
        <v>20</v>
      </c>
      <c r="B47" s="58" t="s">
        <v>8</v>
      </c>
      <c r="C47" s="59">
        <v>25</v>
      </c>
      <c r="D47" s="96">
        <v>2</v>
      </c>
      <c r="E47" s="95">
        <v>2</v>
      </c>
      <c r="F47" s="61">
        <f>$C$47*$H$43</f>
        <v>62.5</v>
      </c>
      <c r="G47" s="103">
        <f>$F$47+$D$47*$A$21</f>
        <v>206.5</v>
      </c>
      <c r="H47" s="104">
        <f>$F$47+$E$47*$C$21</f>
        <v>398.5</v>
      </c>
      <c r="I47" s="120">
        <f>$G$47+$H$47</f>
        <v>605</v>
      </c>
    </row>
    <row r="48" spans="1:9" ht="50.1" customHeight="1" thickBot="1" x14ac:dyDescent="0.3">
      <c r="A48" s="57" t="s">
        <v>21</v>
      </c>
      <c r="B48" s="58" t="s">
        <v>9</v>
      </c>
      <c r="C48" s="59">
        <v>100</v>
      </c>
      <c r="D48" s="62">
        <f>$H$27</f>
        <v>9</v>
      </c>
      <c r="E48" s="63">
        <f>$H$27</f>
        <v>9</v>
      </c>
      <c r="F48" s="60">
        <f>$C$48*$H$43</f>
        <v>250</v>
      </c>
      <c r="G48" s="105">
        <f>$F$48+$D$48*$A$21</f>
        <v>898</v>
      </c>
      <c r="H48" s="106">
        <f>$F$48+$E$48*$C$21</f>
        <v>1762</v>
      </c>
      <c r="I48" s="119">
        <f>$G$48+$H$48</f>
        <v>2660</v>
      </c>
    </row>
    <row r="49" spans="1:9" ht="50.1" customHeight="1" thickBot="1" x14ac:dyDescent="0.3">
      <c r="A49" s="57" t="s">
        <v>22</v>
      </c>
      <c r="B49" s="58" t="s">
        <v>10</v>
      </c>
      <c r="C49" s="59">
        <v>100</v>
      </c>
      <c r="D49" s="97">
        <f>$H$37</f>
        <v>9</v>
      </c>
      <c r="E49" s="98">
        <f>$H$37</f>
        <v>9</v>
      </c>
      <c r="F49" s="99">
        <f>$C$49*$H$43</f>
        <v>250</v>
      </c>
      <c r="G49" s="103">
        <f>$F$49+$D$49*$A$21</f>
        <v>898</v>
      </c>
      <c r="H49" s="104">
        <f>$F$49+$E$49*$C$21</f>
        <v>1762</v>
      </c>
      <c r="I49" s="120">
        <f>$G$49+$H$49</f>
        <v>2660</v>
      </c>
    </row>
    <row r="50" spans="1:9" ht="50.1" customHeight="1" thickBot="1" x14ac:dyDescent="0.3">
      <c r="A50" s="57" t="s">
        <v>23</v>
      </c>
      <c r="B50" s="58" t="s">
        <v>1</v>
      </c>
      <c r="C50" s="59">
        <v>10</v>
      </c>
      <c r="D50" s="94">
        <v>6</v>
      </c>
      <c r="E50" s="95">
        <v>6</v>
      </c>
      <c r="F50" s="61">
        <f>$C$50*$H$43</f>
        <v>25</v>
      </c>
      <c r="G50" s="103">
        <f>$F$50+$D$50*$A$21</f>
        <v>457</v>
      </c>
      <c r="H50" s="104">
        <f>$F$50+$E$50*$C$21</f>
        <v>1033</v>
      </c>
      <c r="I50" s="120">
        <f>$G$50+$H$50</f>
        <v>1490</v>
      </c>
    </row>
    <row r="51" spans="1:9" ht="50.1" customHeight="1" thickBot="1" x14ac:dyDescent="0.3">
      <c r="A51" s="64" t="s">
        <v>24</v>
      </c>
      <c r="B51" s="65" t="s">
        <v>11</v>
      </c>
      <c r="C51" s="66">
        <v>0</v>
      </c>
      <c r="D51" s="125">
        <f>$H$40</f>
        <v>2.7777777777777777</v>
      </c>
      <c r="E51" s="126">
        <f>$H$41</f>
        <v>1.7857142857142858</v>
      </c>
      <c r="F51" s="68">
        <f>$C$51*$H$43</f>
        <v>0</v>
      </c>
      <c r="G51" s="103">
        <f>$F$51+$D$51*$A$21</f>
        <v>200</v>
      </c>
      <c r="H51" s="104">
        <f>$F$51+$E$51*$C$21</f>
        <v>300</v>
      </c>
      <c r="I51" s="120">
        <f>$G$51+$H$51</f>
        <v>500</v>
      </c>
    </row>
    <row r="52" spans="1:9" ht="50.1" customHeight="1" thickBot="1" x14ac:dyDescent="0.3">
      <c r="A52" s="64" t="s">
        <v>25</v>
      </c>
      <c r="B52" s="65" t="s">
        <v>15</v>
      </c>
      <c r="C52" s="66" t="s">
        <v>34</v>
      </c>
      <c r="D52" s="66" t="s">
        <v>34</v>
      </c>
      <c r="E52" s="67" t="s">
        <v>34</v>
      </c>
      <c r="F52" s="68" t="s">
        <v>34</v>
      </c>
      <c r="G52" s="107" t="s">
        <v>34</v>
      </c>
      <c r="H52" s="108" t="s">
        <v>34</v>
      </c>
      <c r="I52" s="119" t="s">
        <v>34</v>
      </c>
    </row>
  </sheetData>
  <mergeCells count="9">
    <mergeCell ref="A43:F44"/>
    <mergeCell ref="G43:G44"/>
    <mergeCell ref="H43:H44"/>
    <mergeCell ref="I43:I44"/>
    <mergeCell ref="A1:C1"/>
    <mergeCell ref="A14:E14"/>
    <mergeCell ref="A17:D17"/>
    <mergeCell ref="G3:I4"/>
    <mergeCell ref="G17:H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showGridLines="0" zoomScale="40" zoomScaleNormal="40" workbookViewId="0">
      <selection activeCell="G41" sqref="G41"/>
    </sheetView>
  </sheetViews>
  <sheetFormatPr baseColWidth="10" defaultRowHeight="15" x14ac:dyDescent="0.25"/>
  <cols>
    <col min="1" max="1" width="25.7109375" customWidth="1"/>
    <col min="2" max="2" width="47" customWidth="1"/>
    <col min="3" max="3" width="63.42578125" customWidth="1"/>
    <col min="4" max="4" width="55.42578125" customWidth="1"/>
    <col min="5" max="5" width="46.28515625" customWidth="1"/>
    <col min="6" max="6" width="61.5703125" bestFit="1" customWidth="1"/>
    <col min="7" max="7" width="41.42578125" customWidth="1"/>
    <col min="8" max="8" width="40.5703125" customWidth="1"/>
    <col min="9" max="9" width="39.7109375" customWidth="1"/>
  </cols>
  <sheetData>
    <row r="1" spans="1:9" ht="42.75" thickBot="1" x14ac:dyDescent="0.3">
      <c r="A1" s="323" t="s">
        <v>67</v>
      </c>
      <c r="B1" s="331"/>
      <c r="C1" s="332"/>
      <c r="D1" s="11" t="s">
        <v>12</v>
      </c>
      <c r="E1" s="18" t="s">
        <v>29</v>
      </c>
    </row>
    <row r="2" spans="1:9" ht="32.25" thickBot="1" x14ac:dyDescent="0.3">
      <c r="A2" s="77"/>
      <c r="B2" s="78" t="s">
        <v>151</v>
      </c>
      <c r="C2" s="78" t="s">
        <v>152</v>
      </c>
      <c r="D2" s="55"/>
      <c r="E2" s="76"/>
    </row>
    <row r="3" spans="1:9" ht="27" thickBot="1" x14ac:dyDescent="0.45">
      <c r="A3" s="80" t="s">
        <v>39</v>
      </c>
      <c r="B3" s="79">
        <f>$A$21</f>
        <v>72</v>
      </c>
      <c r="C3" s="79">
        <f>$C$21</f>
        <v>168</v>
      </c>
      <c r="D3" s="7"/>
      <c r="E3" s="8"/>
      <c r="G3" s="347" t="s">
        <v>157</v>
      </c>
      <c r="H3" s="347"/>
      <c r="I3" s="347"/>
    </row>
    <row r="4" spans="1:9" ht="27" thickBot="1" x14ac:dyDescent="0.45">
      <c r="A4" s="80" t="s">
        <v>38</v>
      </c>
      <c r="B4" s="79">
        <f>$A$24</f>
        <v>72</v>
      </c>
      <c r="C4" s="79">
        <f>$C$24</f>
        <v>112</v>
      </c>
      <c r="D4" s="7"/>
      <c r="E4" s="8"/>
      <c r="G4" s="347"/>
      <c r="H4" s="347"/>
      <c r="I4" s="347"/>
    </row>
    <row r="5" spans="1:9" ht="27" thickBot="1" x14ac:dyDescent="0.45">
      <c r="A5" s="80" t="s">
        <v>16</v>
      </c>
      <c r="B5" s="79">
        <f>$A$24</f>
        <v>72</v>
      </c>
      <c r="C5" s="79">
        <f>$C$24</f>
        <v>112</v>
      </c>
      <c r="D5" s="9"/>
      <c r="E5" s="10"/>
      <c r="G5" s="45" t="s">
        <v>158</v>
      </c>
      <c r="H5" s="46">
        <v>54</v>
      </c>
      <c r="I5" s="46" t="s">
        <v>100</v>
      </c>
    </row>
    <row r="6" spans="1:9" ht="84.75" x14ac:dyDescent="0.35">
      <c r="A6" s="1"/>
      <c r="B6" s="22" t="s">
        <v>17</v>
      </c>
      <c r="C6" s="22" t="s">
        <v>37</v>
      </c>
      <c r="D6" s="19" t="s">
        <v>18</v>
      </c>
      <c r="E6" s="20" t="s">
        <v>50</v>
      </c>
      <c r="G6" s="45" t="s">
        <v>159</v>
      </c>
      <c r="H6" s="46">
        <v>78</v>
      </c>
      <c r="I6" s="46" t="s">
        <v>100</v>
      </c>
    </row>
    <row r="7" spans="1:9" ht="33" x14ac:dyDescent="0.35">
      <c r="A7" s="21" t="s">
        <v>19</v>
      </c>
      <c r="B7" s="121" t="s">
        <v>14</v>
      </c>
      <c r="C7" s="109" t="s">
        <v>164</v>
      </c>
      <c r="D7" s="110" t="s">
        <v>34</v>
      </c>
      <c r="E7" s="111" t="s">
        <v>34</v>
      </c>
      <c r="G7" s="45" t="s">
        <v>160</v>
      </c>
      <c r="H7" s="46">
        <v>1.5</v>
      </c>
      <c r="I7" s="46" t="s">
        <v>100</v>
      </c>
    </row>
    <row r="8" spans="1:9" ht="33" x14ac:dyDescent="0.35">
      <c r="A8" s="21" t="s">
        <v>20</v>
      </c>
      <c r="B8" s="121" t="s">
        <v>8</v>
      </c>
      <c r="C8" s="109" t="s">
        <v>165</v>
      </c>
      <c r="D8" s="110">
        <v>25</v>
      </c>
      <c r="E8" s="122">
        <v>2</v>
      </c>
      <c r="G8" s="46" t="s">
        <v>161</v>
      </c>
      <c r="H8" s="46">
        <v>3</v>
      </c>
      <c r="I8" s="46" t="s">
        <v>100</v>
      </c>
    </row>
    <row r="9" spans="1:9" ht="64.5" x14ac:dyDescent="0.35">
      <c r="A9" s="21" t="s">
        <v>21</v>
      </c>
      <c r="B9" s="121" t="s">
        <v>9</v>
      </c>
      <c r="C9" s="109" t="s">
        <v>188</v>
      </c>
      <c r="D9" s="110">
        <v>100</v>
      </c>
      <c r="E9" s="112" t="s">
        <v>186</v>
      </c>
      <c r="G9" s="46" t="s">
        <v>162</v>
      </c>
      <c r="H9" s="46">
        <f>$H$5+23+2*$H$7+$H$8</f>
        <v>83</v>
      </c>
      <c r="I9" s="46" t="s">
        <v>100</v>
      </c>
    </row>
    <row r="10" spans="1:9" ht="80.25" x14ac:dyDescent="0.35">
      <c r="A10" s="21" t="s">
        <v>22</v>
      </c>
      <c r="B10" s="121" t="s">
        <v>10</v>
      </c>
      <c r="C10" s="109" t="s">
        <v>189</v>
      </c>
      <c r="D10" s="110">
        <v>100</v>
      </c>
      <c r="E10" s="112" t="s">
        <v>187</v>
      </c>
      <c r="G10" s="46" t="s">
        <v>163</v>
      </c>
      <c r="H10" s="46">
        <f>$H$6+23+2*$H$7+$H$8</f>
        <v>107</v>
      </c>
      <c r="I10" s="46" t="s">
        <v>100</v>
      </c>
    </row>
    <row r="11" spans="1:9" ht="31.5" x14ac:dyDescent="0.25">
      <c r="A11" s="21" t="s">
        <v>23</v>
      </c>
      <c r="B11" s="121" t="s">
        <v>1</v>
      </c>
      <c r="C11" s="109" t="s">
        <v>168</v>
      </c>
      <c r="D11" s="110">
        <v>10</v>
      </c>
      <c r="E11" s="111">
        <v>6</v>
      </c>
    </row>
    <row r="12" spans="1:9" ht="47.45" customHeight="1" x14ac:dyDescent="0.25">
      <c r="A12" s="21" t="s">
        <v>24</v>
      </c>
      <c r="B12" s="121" t="s">
        <v>11</v>
      </c>
      <c r="C12" s="123" t="s">
        <v>169</v>
      </c>
      <c r="D12" s="110">
        <v>0</v>
      </c>
      <c r="E12" s="112" t="s">
        <v>190</v>
      </c>
    </row>
    <row r="13" spans="1:9" ht="32.25" thickBot="1" x14ac:dyDescent="0.3">
      <c r="A13" s="24" t="s">
        <v>25</v>
      </c>
      <c r="B13" s="124" t="s">
        <v>15</v>
      </c>
      <c r="C13" s="113" t="s">
        <v>170</v>
      </c>
      <c r="D13" s="114" t="s">
        <v>34</v>
      </c>
      <c r="E13" s="115" t="s">
        <v>34</v>
      </c>
    </row>
    <row r="14" spans="1:9" ht="23.25" x14ac:dyDescent="0.35">
      <c r="A14" s="335"/>
      <c r="B14" s="335"/>
      <c r="C14" s="335"/>
      <c r="D14" s="335"/>
      <c r="E14" s="335"/>
    </row>
    <row r="17" spans="1:7" ht="31.5" x14ac:dyDescent="0.5">
      <c r="A17" s="348" t="s">
        <v>91</v>
      </c>
      <c r="B17" s="349"/>
      <c r="C17" s="349"/>
      <c r="D17" s="350"/>
      <c r="F17" s="330" t="s">
        <v>127</v>
      </c>
      <c r="G17" s="330"/>
    </row>
    <row r="18" spans="1:7" ht="21" x14ac:dyDescent="0.35">
      <c r="A18" s="49">
        <v>71</v>
      </c>
      <c r="B18" s="49" t="s">
        <v>81</v>
      </c>
      <c r="C18" s="49">
        <v>140</v>
      </c>
      <c r="D18" s="49" t="s">
        <v>82</v>
      </c>
      <c r="F18" s="50" t="s">
        <v>171</v>
      </c>
    </row>
    <row r="19" spans="1:7" ht="21" x14ac:dyDescent="0.35">
      <c r="A19" s="49">
        <v>72</v>
      </c>
      <c r="B19" s="49" t="s">
        <v>86</v>
      </c>
      <c r="C19" s="49">
        <v>56</v>
      </c>
      <c r="D19" s="49" t="s">
        <v>86</v>
      </c>
      <c r="F19" s="48" t="s">
        <v>172</v>
      </c>
      <c r="G19" s="48">
        <v>1</v>
      </c>
    </row>
    <row r="20" spans="1:7" ht="21" x14ac:dyDescent="0.35">
      <c r="A20" s="49">
        <f>ROUNDUP($A$18/$A$19,0)</f>
        <v>1</v>
      </c>
      <c r="B20" s="49" t="s">
        <v>87</v>
      </c>
      <c r="C20" s="49">
        <f>ROUNDUP($C$18/$C$19,0)</f>
        <v>3</v>
      </c>
      <c r="D20" s="49" t="s">
        <v>87</v>
      </c>
      <c r="F20" s="116" t="s">
        <v>173</v>
      </c>
      <c r="G20" s="116">
        <v>0.8</v>
      </c>
    </row>
    <row r="21" spans="1:7" ht="21" x14ac:dyDescent="0.35">
      <c r="A21" s="49">
        <f>$A$19*$A$20</f>
        <v>72</v>
      </c>
      <c r="B21" s="49" t="s">
        <v>89</v>
      </c>
      <c r="C21" s="49">
        <f>$C$19*$C$20</f>
        <v>168</v>
      </c>
      <c r="D21" s="49" t="s">
        <v>90</v>
      </c>
      <c r="F21" s="48" t="s">
        <v>175</v>
      </c>
      <c r="G21" s="116">
        <v>0.5</v>
      </c>
    </row>
    <row r="22" spans="1:7" ht="21" x14ac:dyDescent="0.35">
      <c r="A22" s="49">
        <v>35</v>
      </c>
      <c r="B22" s="49" t="s">
        <v>147</v>
      </c>
      <c r="C22" s="49">
        <v>70</v>
      </c>
      <c r="D22" s="49" t="s">
        <v>148</v>
      </c>
      <c r="F22" s="48" t="s">
        <v>176</v>
      </c>
      <c r="G22" s="48">
        <v>0.8</v>
      </c>
    </row>
    <row r="23" spans="1:7" ht="21" x14ac:dyDescent="0.35">
      <c r="A23" s="49">
        <f>ROUNDUP($A$22/$A$19,0)</f>
        <v>1</v>
      </c>
      <c r="B23" s="49" t="s">
        <v>149</v>
      </c>
      <c r="C23" s="49">
        <f>ROUNDUP($C$22/$C$19,0)</f>
        <v>2</v>
      </c>
      <c r="D23" s="49" t="s">
        <v>149</v>
      </c>
      <c r="F23" s="48" t="s">
        <v>177</v>
      </c>
      <c r="G23" s="48">
        <v>1.2</v>
      </c>
    </row>
    <row r="24" spans="1:7" ht="21" x14ac:dyDescent="0.35">
      <c r="A24" s="49">
        <f>$A$19*$A$23</f>
        <v>72</v>
      </c>
      <c r="B24" s="49" t="s">
        <v>150</v>
      </c>
      <c r="C24" s="49">
        <f>$C$19*$C$23</f>
        <v>112</v>
      </c>
      <c r="D24" s="49" t="s">
        <v>180</v>
      </c>
      <c r="F24" s="48" t="s">
        <v>178</v>
      </c>
      <c r="G24" s="48">
        <v>1</v>
      </c>
    </row>
    <row r="25" spans="1:7" ht="21" x14ac:dyDescent="0.35">
      <c r="F25" s="48" t="s">
        <v>185</v>
      </c>
      <c r="G25" s="48">
        <v>5.2</v>
      </c>
    </row>
    <row r="26" spans="1:7" ht="21" x14ac:dyDescent="0.35">
      <c r="F26" s="48" t="s">
        <v>179</v>
      </c>
      <c r="G26" s="48">
        <v>0.5</v>
      </c>
    </row>
    <row r="27" spans="1:7" ht="21" x14ac:dyDescent="0.35">
      <c r="F27" s="51" t="s">
        <v>182</v>
      </c>
      <c r="G27" s="48">
        <f>SUM(G19:G26)</f>
        <v>11</v>
      </c>
    </row>
    <row r="28" spans="1:7" ht="21" x14ac:dyDescent="0.35">
      <c r="F28" s="50" t="s">
        <v>174</v>
      </c>
      <c r="G28" s="48"/>
    </row>
    <row r="29" spans="1:7" ht="21" x14ac:dyDescent="0.35">
      <c r="F29" s="48" t="s">
        <v>172</v>
      </c>
      <c r="G29" s="48">
        <v>1</v>
      </c>
    </row>
    <row r="30" spans="1:7" ht="21" x14ac:dyDescent="0.35">
      <c r="F30" s="116" t="s">
        <v>173</v>
      </c>
      <c r="G30" s="116">
        <v>0.8</v>
      </c>
    </row>
    <row r="31" spans="1:7" ht="21" x14ac:dyDescent="0.35">
      <c r="F31" s="48" t="s">
        <v>175</v>
      </c>
      <c r="G31" s="116">
        <v>0.5</v>
      </c>
    </row>
    <row r="32" spans="1:7" ht="21" x14ac:dyDescent="0.35">
      <c r="F32" s="48" t="s">
        <v>176</v>
      </c>
      <c r="G32" s="48">
        <v>0.8</v>
      </c>
    </row>
    <row r="33" spans="1:9" ht="21" x14ac:dyDescent="0.35">
      <c r="F33" s="48" t="s">
        <v>177</v>
      </c>
      <c r="G33" s="48">
        <v>1.2</v>
      </c>
    </row>
    <row r="34" spans="1:9" ht="21" x14ac:dyDescent="0.35">
      <c r="F34" s="48" t="s">
        <v>178</v>
      </c>
      <c r="G34" s="48">
        <v>1</v>
      </c>
    </row>
    <row r="35" spans="1:9" ht="21" x14ac:dyDescent="0.35">
      <c r="F35" s="48" t="s">
        <v>184</v>
      </c>
      <c r="G35" s="48">
        <v>3.2</v>
      </c>
    </row>
    <row r="36" spans="1:9" ht="21" x14ac:dyDescent="0.35">
      <c r="F36" s="48" t="s">
        <v>179</v>
      </c>
      <c r="G36" s="48">
        <v>0.5</v>
      </c>
    </row>
    <row r="37" spans="1:9" ht="21" x14ac:dyDescent="0.35">
      <c r="F37" s="51" t="s">
        <v>182</v>
      </c>
      <c r="G37" s="48">
        <f>SUM(G29:G36)</f>
        <v>9</v>
      </c>
    </row>
    <row r="38" spans="1:9" ht="21" x14ac:dyDescent="0.35">
      <c r="F38" s="50" t="s">
        <v>124</v>
      </c>
      <c r="G38" s="48"/>
    </row>
    <row r="39" spans="1:9" ht="21" x14ac:dyDescent="0.35">
      <c r="F39" s="48" t="s">
        <v>129</v>
      </c>
      <c r="G39" s="48"/>
    </row>
    <row r="40" spans="1:9" ht="21" x14ac:dyDescent="0.35">
      <c r="F40" s="48" t="s">
        <v>130</v>
      </c>
      <c r="G40" s="48">
        <f>200/$A$24</f>
        <v>2.7777777777777777</v>
      </c>
    </row>
    <row r="41" spans="1:9" ht="21" x14ac:dyDescent="0.35">
      <c r="F41" s="48" t="s">
        <v>131</v>
      </c>
      <c r="G41" s="48">
        <f>200/$C$24</f>
        <v>1.7857142857142858</v>
      </c>
    </row>
    <row r="42" spans="1:9" ht="15.75" thickBot="1" x14ac:dyDescent="0.3"/>
    <row r="43" spans="1:9" x14ac:dyDescent="0.25">
      <c r="A43" s="323" t="s">
        <v>132</v>
      </c>
      <c r="B43" s="324"/>
      <c r="C43" s="324"/>
      <c r="D43" s="324"/>
      <c r="E43" s="324"/>
      <c r="F43" s="324"/>
      <c r="G43" s="327" t="s">
        <v>136</v>
      </c>
      <c r="H43" s="324">
        <f>$B$3/$B$5+$C$3/$C$5</f>
        <v>2.5</v>
      </c>
      <c r="I43" s="316"/>
    </row>
    <row r="44" spans="1:9" ht="36.75" customHeight="1" thickBot="1" x14ac:dyDescent="0.3">
      <c r="A44" s="325"/>
      <c r="B44" s="334"/>
      <c r="C44" s="334"/>
      <c r="D44" s="334"/>
      <c r="E44" s="334"/>
      <c r="F44" s="334"/>
      <c r="G44" s="328"/>
      <c r="H44" s="334"/>
      <c r="I44" s="317"/>
    </row>
    <row r="45" spans="1:9" ht="69.95" customHeight="1" thickBot="1" x14ac:dyDescent="0.4">
      <c r="A45" s="74"/>
      <c r="B45" s="75" t="s">
        <v>17</v>
      </c>
      <c r="C45" s="56" t="s">
        <v>18</v>
      </c>
      <c r="D45" s="56" t="s">
        <v>135</v>
      </c>
      <c r="E45" s="56" t="s">
        <v>134</v>
      </c>
      <c r="F45" s="56" t="s">
        <v>154</v>
      </c>
      <c r="G45" s="100" t="s">
        <v>191</v>
      </c>
      <c r="H45" s="100" t="s">
        <v>192</v>
      </c>
      <c r="I45" s="118" t="s">
        <v>181</v>
      </c>
    </row>
    <row r="46" spans="1:9" ht="50.1" customHeight="1" thickBot="1" x14ac:dyDescent="0.3">
      <c r="A46" s="69" t="s">
        <v>19</v>
      </c>
      <c r="B46" s="70" t="s">
        <v>14</v>
      </c>
      <c r="C46" s="71" t="s">
        <v>34</v>
      </c>
      <c r="D46" s="71" t="s">
        <v>34</v>
      </c>
      <c r="E46" s="72" t="s">
        <v>34</v>
      </c>
      <c r="F46" s="73" t="s">
        <v>34</v>
      </c>
      <c r="G46" s="101" t="s">
        <v>34</v>
      </c>
      <c r="H46" s="102" t="s">
        <v>34</v>
      </c>
      <c r="I46" s="119" t="s">
        <v>34</v>
      </c>
    </row>
    <row r="47" spans="1:9" ht="50.1" customHeight="1" thickBot="1" x14ac:dyDescent="0.3">
      <c r="A47" s="57" t="s">
        <v>20</v>
      </c>
      <c r="B47" s="58" t="s">
        <v>8</v>
      </c>
      <c r="C47" s="59">
        <v>25</v>
      </c>
      <c r="D47" s="96">
        <v>2</v>
      </c>
      <c r="E47" s="95">
        <v>2</v>
      </c>
      <c r="F47" s="61">
        <f>$C$47*$H$43</f>
        <v>62.5</v>
      </c>
      <c r="G47" s="103">
        <f>$F$47+$D$47*$A$21</f>
        <v>206.5</v>
      </c>
      <c r="H47" s="104">
        <f>$F$47+$E$47*$C$21</f>
        <v>398.5</v>
      </c>
      <c r="I47" s="120">
        <f>$G$47+$H$47</f>
        <v>605</v>
      </c>
    </row>
    <row r="48" spans="1:9" ht="50.1" customHeight="1" thickBot="1" x14ac:dyDescent="0.3">
      <c r="A48" s="57" t="s">
        <v>21</v>
      </c>
      <c r="B48" s="58" t="s">
        <v>9</v>
      </c>
      <c r="C48" s="59">
        <v>100</v>
      </c>
      <c r="D48" s="62">
        <f>$G$27</f>
        <v>11</v>
      </c>
      <c r="E48" s="63">
        <f>$G$27</f>
        <v>11</v>
      </c>
      <c r="F48" s="60">
        <f>$C$48*$H$43</f>
        <v>250</v>
      </c>
      <c r="G48" s="105">
        <f>$F$48+$D$48*$A$21</f>
        <v>1042</v>
      </c>
      <c r="H48" s="106">
        <f>$F$48+$E$48*$C$21</f>
        <v>2098</v>
      </c>
      <c r="I48" s="119">
        <f>$G$48+$H$48</f>
        <v>3140</v>
      </c>
    </row>
    <row r="49" spans="1:9" ht="50.1" customHeight="1" thickBot="1" x14ac:dyDescent="0.3">
      <c r="A49" s="57" t="s">
        <v>22</v>
      </c>
      <c r="B49" s="58" t="s">
        <v>10</v>
      </c>
      <c r="C49" s="59">
        <v>100</v>
      </c>
      <c r="D49" s="97">
        <f>$G$37</f>
        <v>9</v>
      </c>
      <c r="E49" s="98">
        <f>$G$37</f>
        <v>9</v>
      </c>
      <c r="F49" s="99">
        <f>$C$49*$H$43</f>
        <v>250</v>
      </c>
      <c r="G49" s="103">
        <f>$F$49+$D$49*$A$21</f>
        <v>898</v>
      </c>
      <c r="H49" s="104">
        <f>$F$49+$E$49*$C$21</f>
        <v>1762</v>
      </c>
      <c r="I49" s="120">
        <f>$G$49+$H$49</f>
        <v>2660</v>
      </c>
    </row>
    <row r="50" spans="1:9" ht="50.1" customHeight="1" thickBot="1" x14ac:dyDescent="0.3">
      <c r="A50" s="57" t="s">
        <v>23</v>
      </c>
      <c r="B50" s="58" t="s">
        <v>1</v>
      </c>
      <c r="C50" s="59">
        <v>10</v>
      </c>
      <c r="D50" s="94">
        <v>6</v>
      </c>
      <c r="E50" s="95">
        <v>6</v>
      </c>
      <c r="F50" s="61">
        <f>$C$50*$H$43</f>
        <v>25</v>
      </c>
      <c r="G50" s="103">
        <f>$F$50+$D$50*$A$21</f>
        <v>457</v>
      </c>
      <c r="H50" s="104">
        <f>$F$50+$E$50*$C$21</f>
        <v>1033</v>
      </c>
      <c r="I50" s="120">
        <f>$G$50+$H$50</f>
        <v>1490</v>
      </c>
    </row>
    <row r="51" spans="1:9" ht="50.1" customHeight="1" thickBot="1" x14ac:dyDescent="0.3">
      <c r="A51" s="64" t="s">
        <v>24</v>
      </c>
      <c r="B51" s="65" t="s">
        <v>11</v>
      </c>
      <c r="C51" s="66">
        <v>0</v>
      </c>
      <c r="D51" s="125">
        <f>$G$40</f>
        <v>2.7777777777777777</v>
      </c>
      <c r="E51" s="126">
        <f>$G$41</f>
        <v>1.7857142857142858</v>
      </c>
      <c r="F51" s="68">
        <f>$C$51*$H$43</f>
        <v>0</v>
      </c>
      <c r="G51" s="103">
        <f>$F$51+$D$51*$A$21</f>
        <v>200</v>
      </c>
      <c r="H51" s="104">
        <f>$F$51+$E$51*$C$21</f>
        <v>300</v>
      </c>
      <c r="I51" s="120">
        <f>$G$51+$H$51</f>
        <v>500</v>
      </c>
    </row>
    <row r="52" spans="1:9" ht="50.1" customHeight="1" thickBot="1" x14ac:dyDescent="0.3">
      <c r="A52" s="64" t="s">
        <v>25</v>
      </c>
      <c r="B52" s="65" t="s">
        <v>15</v>
      </c>
      <c r="C52" s="66" t="s">
        <v>34</v>
      </c>
      <c r="D52" s="66" t="s">
        <v>34</v>
      </c>
      <c r="E52" s="67" t="s">
        <v>34</v>
      </c>
      <c r="F52" s="68" t="s">
        <v>34</v>
      </c>
      <c r="G52" s="107" t="s">
        <v>34</v>
      </c>
      <c r="H52" s="108" t="s">
        <v>34</v>
      </c>
      <c r="I52" s="119" t="s">
        <v>34</v>
      </c>
    </row>
  </sheetData>
  <mergeCells count="9">
    <mergeCell ref="A43:F44"/>
    <mergeCell ref="G43:G44"/>
    <mergeCell ref="H43:H44"/>
    <mergeCell ref="I43:I44"/>
    <mergeCell ref="A1:C1"/>
    <mergeCell ref="A14:E14"/>
    <mergeCell ref="A17:D17"/>
    <mergeCell ref="G3:I4"/>
    <mergeCell ref="F17:G1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0"/>
  <sheetViews>
    <sheetView zoomScale="40" zoomScaleNormal="40" workbookViewId="0">
      <selection activeCell="M26" sqref="M26"/>
    </sheetView>
  </sheetViews>
  <sheetFormatPr baseColWidth="10" defaultRowHeight="15" x14ac:dyDescent="0.25"/>
  <cols>
    <col min="1" max="1" width="46.85546875" bestFit="1" customWidth="1"/>
    <col min="2" max="2" width="15.28515625" bestFit="1" customWidth="1"/>
    <col min="3" max="3" width="84.7109375" bestFit="1" customWidth="1"/>
    <col min="4" max="4" width="23.28515625" bestFit="1" customWidth="1"/>
    <col min="5" max="5" width="42.7109375" bestFit="1" customWidth="1"/>
    <col min="6" max="6" width="44.7109375" bestFit="1" customWidth="1"/>
    <col min="7" max="7" width="29" customWidth="1"/>
    <col min="9" max="9" width="60.140625" bestFit="1" customWidth="1"/>
    <col min="10" max="10" width="3.140625" bestFit="1" customWidth="1"/>
    <col min="11" max="11" width="11.28515625" bestFit="1" customWidth="1"/>
    <col min="12" max="12" width="5.85546875" bestFit="1" customWidth="1"/>
    <col min="13" max="13" width="11.28515625" customWidth="1"/>
    <col min="14" max="14" width="7.140625" bestFit="1" customWidth="1"/>
    <col min="15" max="15" width="9" bestFit="1" customWidth="1"/>
    <col min="16" max="16" width="32.85546875" customWidth="1"/>
    <col min="17" max="18" width="18.5703125" bestFit="1" customWidth="1"/>
    <col min="19" max="19" width="24.5703125" bestFit="1" customWidth="1"/>
    <col min="20" max="20" width="26.42578125" bestFit="1" customWidth="1"/>
    <col min="21" max="21" width="49.28515625" bestFit="1" customWidth="1"/>
    <col min="22" max="22" width="46.140625" bestFit="1" customWidth="1"/>
    <col min="23" max="23" width="27.140625" bestFit="1" customWidth="1"/>
  </cols>
  <sheetData>
    <row r="1" spans="1:23" ht="42" x14ac:dyDescent="0.25">
      <c r="A1" s="318" t="s">
        <v>40</v>
      </c>
      <c r="B1" s="319"/>
      <c r="C1" s="320"/>
      <c r="D1" s="11" t="s">
        <v>12</v>
      </c>
      <c r="E1" s="18" t="s">
        <v>30</v>
      </c>
    </row>
    <row r="2" spans="1:23" x14ac:dyDescent="0.25">
      <c r="A2" s="12" t="s">
        <v>39</v>
      </c>
      <c r="B2" s="17" t="s">
        <v>303</v>
      </c>
      <c r="C2" s="7"/>
      <c r="D2" s="7"/>
      <c r="E2" s="8"/>
    </row>
    <row r="3" spans="1:23" x14ac:dyDescent="0.25">
      <c r="A3" s="2" t="s">
        <v>38</v>
      </c>
      <c r="B3" s="17" t="s">
        <v>304</v>
      </c>
      <c r="C3" s="7"/>
      <c r="D3" s="7"/>
      <c r="E3" s="8"/>
    </row>
    <row r="4" spans="1:23" ht="15.75" thickBot="1" x14ac:dyDescent="0.3">
      <c r="A4" s="3" t="s">
        <v>16</v>
      </c>
      <c r="B4" s="23" t="s">
        <v>304</v>
      </c>
      <c r="C4" s="9"/>
      <c r="D4" s="9"/>
      <c r="E4" s="10"/>
    </row>
    <row r="5" spans="1:23" ht="90" customHeight="1" thickTop="1" x14ac:dyDescent="0.35">
      <c r="A5" s="1"/>
      <c r="B5" s="22" t="s">
        <v>17</v>
      </c>
      <c r="C5" s="22" t="s">
        <v>37</v>
      </c>
      <c r="D5" s="19" t="s">
        <v>18</v>
      </c>
      <c r="E5" s="20" t="s">
        <v>50</v>
      </c>
      <c r="F5" s="200" t="s">
        <v>305</v>
      </c>
      <c r="G5" s="152" t="s">
        <v>306</v>
      </c>
      <c r="H5" s="152" t="s">
        <v>307</v>
      </c>
      <c r="N5" s="354" t="s">
        <v>217</v>
      </c>
      <c r="O5" s="355"/>
      <c r="P5" s="355"/>
      <c r="Q5" s="201" t="s">
        <v>308</v>
      </c>
      <c r="R5" s="202" t="s">
        <v>309</v>
      </c>
    </row>
    <row r="6" spans="1:23" ht="30" x14ac:dyDescent="0.25">
      <c r="A6" s="21" t="s">
        <v>19</v>
      </c>
      <c r="B6" s="13" t="s">
        <v>14</v>
      </c>
      <c r="C6" s="4" t="s">
        <v>60</v>
      </c>
      <c r="D6" s="5" t="s">
        <v>34</v>
      </c>
      <c r="E6" s="6" t="s">
        <v>34</v>
      </c>
      <c r="F6" s="203" t="s">
        <v>310</v>
      </c>
      <c r="G6" s="152">
        <v>54</v>
      </c>
      <c r="H6" s="152">
        <v>78</v>
      </c>
      <c r="N6" s="356" t="s">
        <v>39</v>
      </c>
      <c r="O6" s="340"/>
      <c r="P6" s="340"/>
      <c r="Q6" s="204">
        <v>71</v>
      </c>
      <c r="R6" s="205">
        <v>140</v>
      </c>
    </row>
    <row r="7" spans="1:23" ht="30" x14ac:dyDescent="0.25">
      <c r="A7" s="21" t="s">
        <v>20</v>
      </c>
      <c r="B7" s="13" t="s">
        <v>8</v>
      </c>
      <c r="C7" s="4" t="s">
        <v>48</v>
      </c>
      <c r="D7" s="5">
        <v>25</v>
      </c>
      <c r="E7" s="6">
        <v>5</v>
      </c>
      <c r="F7" s="203" t="s">
        <v>311</v>
      </c>
      <c r="G7" s="152">
        <f>G6+45</f>
        <v>99</v>
      </c>
      <c r="H7" s="152">
        <f>H6+45</f>
        <v>123</v>
      </c>
      <c r="I7" s="206" t="s">
        <v>312</v>
      </c>
      <c r="N7" s="356" t="s">
        <v>38</v>
      </c>
      <c r="O7" s="340"/>
      <c r="P7" s="340"/>
      <c r="Q7" s="204">
        <v>58</v>
      </c>
      <c r="R7" s="205">
        <v>47</v>
      </c>
    </row>
    <row r="8" spans="1:23" ht="60" customHeight="1" thickBot="1" x14ac:dyDescent="0.3">
      <c r="A8" s="21" t="s">
        <v>21</v>
      </c>
      <c r="B8" s="13" t="s">
        <v>9</v>
      </c>
      <c r="C8" s="4" t="s">
        <v>59</v>
      </c>
      <c r="D8" s="5">
        <v>100</v>
      </c>
      <c r="E8" s="16" t="s">
        <v>313</v>
      </c>
      <c r="F8" s="4" t="s">
        <v>314</v>
      </c>
      <c r="G8" s="152">
        <f>G7+(2*1.5)</f>
        <v>102</v>
      </c>
      <c r="H8" s="152">
        <f>H7+(2*1.5)</f>
        <v>126</v>
      </c>
      <c r="I8" s="206" t="s">
        <v>315</v>
      </c>
      <c r="N8" s="357" t="s">
        <v>16</v>
      </c>
      <c r="O8" s="342"/>
      <c r="P8" s="342"/>
      <c r="Q8" s="207">
        <v>58</v>
      </c>
      <c r="R8" s="208">
        <v>47</v>
      </c>
    </row>
    <row r="9" spans="1:23" ht="30" customHeight="1" thickTop="1" x14ac:dyDescent="0.25">
      <c r="A9" s="21" t="s">
        <v>22</v>
      </c>
      <c r="B9" s="13" t="s">
        <v>10</v>
      </c>
      <c r="C9" s="4" t="s">
        <v>316</v>
      </c>
      <c r="D9" s="5">
        <v>100</v>
      </c>
      <c r="E9" s="161">
        <f>E51</f>
        <v>1.7666666666666666</v>
      </c>
      <c r="F9" s="4" t="s">
        <v>317</v>
      </c>
      <c r="G9" s="152">
        <f>G8+3</f>
        <v>105</v>
      </c>
      <c r="H9" s="152">
        <f>H8+3</f>
        <v>129</v>
      </c>
      <c r="I9" s="47" t="s">
        <v>318</v>
      </c>
      <c r="N9" s="209"/>
      <c r="O9" s="163" t="s">
        <v>17</v>
      </c>
      <c r="P9" s="164" t="s">
        <v>18</v>
      </c>
      <c r="Q9" s="210" t="s">
        <v>218</v>
      </c>
      <c r="R9" s="211" t="s">
        <v>218</v>
      </c>
    </row>
    <row r="10" spans="1:23" ht="28.15" customHeight="1" x14ac:dyDescent="0.25">
      <c r="A10" s="21" t="s">
        <v>23</v>
      </c>
      <c r="B10" s="13" t="s">
        <v>5</v>
      </c>
      <c r="C10" s="14" t="s">
        <v>61</v>
      </c>
      <c r="D10" s="5">
        <v>25</v>
      </c>
      <c r="E10" s="15">
        <v>5</v>
      </c>
      <c r="F10" s="47" t="s">
        <v>319</v>
      </c>
      <c r="G10" s="212">
        <f>6000/G9</f>
        <v>57.142857142857146</v>
      </c>
      <c r="H10" s="212">
        <f>6000/H9</f>
        <v>46.511627906976742</v>
      </c>
      <c r="I10" s="47" t="s">
        <v>320</v>
      </c>
      <c r="N10" s="213" t="s">
        <v>19</v>
      </c>
      <c r="O10" s="152" t="s">
        <v>14</v>
      </c>
      <c r="P10" s="5" t="s">
        <v>34</v>
      </c>
      <c r="Q10" s="214" t="s">
        <v>34</v>
      </c>
      <c r="R10" s="215" t="s">
        <v>34</v>
      </c>
      <c r="S10" s="167"/>
      <c r="T10" s="117" t="s">
        <v>219</v>
      </c>
      <c r="U10" s="117" t="s">
        <v>220</v>
      </c>
      <c r="V10" s="117" t="s">
        <v>221</v>
      </c>
      <c r="W10" s="168" t="s">
        <v>222</v>
      </c>
    </row>
    <row r="11" spans="1:23" ht="30" x14ac:dyDescent="0.25">
      <c r="A11" s="21" t="s">
        <v>24</v>
      </c>
      <c r="B11" s="13" t="s">
        <v>1</v>
      </c>
      <c r="C11" s="4" t="s">
        <v>57</v>
      </c>
      <c r="D11" s="5">
        <v>10</v>
      </c>
      <c r="E11" s="6">
        <v>6</v>
      </c>
      <c r="F11" s="4" t="s">
        <v>321</v>
      </c>
      <c r="G11" s="212">
        <f>6000-G10*G9</f>
        <v>0</v>
      </c>
      <c r="H11" s="152">
        <f>6000-H10*H9</f>
        <v>0</v>
      </c>
      <c r="I11" s="47" t="s">
        <v>322</v>
      </c>
      <c r="N11" s="213" t="s">
        <v>20</v>
      </c>
      <c r="O11" s="152" t="s">
        <v>8</v>
      </c>
      <c r="P11" s="152">
        <v>25</v>
      </c>
      <c r="Q11" s="216">
        <v>5</v>
      </c>
      <c r="R11" s="215">
        <v>5</v>
      </c>
      <c r="S11" s="167" t="s">
        <v>364</v>
      </c>
      <c r="T11" s="170">
        <f>($Q$6*Q11)+$R$6*R11</f>
        <v>1055</v>
      </c>
      <c r="U11" s="171">
        <f>$Q$6/$Q$8+$R$6/$R$8</f>
        <v>4.2028613352898017</v>
      </c>
      <c r="V11" s="171">
        <f>P11*U11</f>
        <v>105.07153338224504</v>
      </c>
      <c r="W11" s="172">
        <f>T11+V11</f>
        <v>1160.071533382245</v>
      </c>
    </row>
    <row r="12" spans="1:23" ht="45" x14ac:dyDescent="0.25">
      <c r="A12" s="21" t="s">
        <v>25</v>
      </c>
      <c r="B12" s="13" t="s">
        <v>11</v>
      </c>
      <c r="C12" s="4" t="s">
        <v>44</v>
      </c>
      <c r="D12" s="5">
        <v>0</v>
      </c>
      <c r="E12" s="16" t="s">
        <v>323</v>
      </c>
      <c r="N12" s="213" t="s">
        <v>21</v>
      </c>
      <c r="O12" s="152" t="s">
        <v>9</v>
      </c>
      <c r="P12" s="152">
        <v>100</v>
      </c>
      <c r="Q12" s="216">
        <v>4.4000000000000004</v>
      </c>
      <c r="R12" s="215">
        <v>4.5999999999999996</v>
      </c>
      <c r="S12" s="167" t="s">
        <v>365</v>
      </c>
      <c r="T12" s="170">
        <f t="shared" ref="T12:T15" si="0">($Q$6*Q12)+$R$6*R12</f>
        <v>956.40000000000009</v>
      </c>
      <c r="U12" s="171">
        <f t="shared" ref="U12:U16" si="1">$Q$6/$Q$8+$R$6/$R$8</f>
        <v>4.2028613352898017</v>
      </c>
      <c r="V12" s="171">
        <f t="shared" ref="V12:V15" si="2">P12*U12</f>
        <v>420.28613352898014</v>
      </c>
      <c r="W12" s="172">
        <f t="shared" ref="W12:W15" si="3">T12+V12</f>
        <v>1376.6861335289802</v>
      </c>
    </row>
    <row r="13" spans="1:23" ht="30.75" thickBot="1" x14ac:dyDescent="0.3">
      <c r="A13" s="24" t="s">
        <v>26</v>
      </c>
      <c r="B13" s="25" t="s">
        <v>15</v>
      </c>
      <c r="C13" s="26" t="s">
        <v>54</v>
      </c>
      <c r="D13" s="27" t="s">
        <v>34</v>
      </c>
      <c r="E13" s="28" t="s">
        <v>34</v>
      </c>
      <c r="N13" s="213" t="s">
        <v>22</v>
      </c>
      <c r="O13" s="152" t="s">
        <v>10</v>
      </c>
      <c r="P13" s="152">
        <v>100</v>
      </c>
      <c r="Q13" s="216">
        <v>1.77</v>
      </c>
      <c r="R13" s="215">
        <v>1.77</v>
      </c>
      <c r="S13" s="167" t="s">
        <v>366</v>
      </c>
      <c r="T13" s="170">
        <f t="shared" si="0"/>
        <v>373.47</v>
      </c>
      <c r="U13" s="244">
        <f t="shared" si="1"/>
        <v>4.2028613352898017</v>
      </c>
      <c r="V13" s="171">
        <f t="shared" si="2"/>
        <v>420.28613352898014</v>
      </c>
      <c r="W13" s="172">
        <f t="shared" si="3"/>
        <v>793.75613352898017</v>
      </c>
    </row>
    <row r="14" spans="1:23" ht="23.25" x14ac:dyDescent="0.35">
      <c r="A14" s="352"/>
      <c r="B14" s="353"/>
      <c r="C14" s="353"/>
      <c r="D14" s="353"/>
      <c r="E14" s="353"/>
      <c r="F14" s="54"/>
      <c r="N14" s="213" t="s">
        <v>23</v>
      </c>
      <c r="O14" s="152" t="s">
        <v>5</v>
      </c>
      <c r="P14" s="152">
        <v>25</v>
      </c>
      <c r="Q14" s="216">
        <v>5</v>
      </c>
      <c r="R14" s="215">
        <v>5</v>
      </c>
      <c r="S14" s="167" t="s">
        <v>368</v>
      </c>
      <c r="T14" s="170">
        <f t="shared" si="0"/>
        <v>1055</v>
      </c>
      <c r="U14" s="171">
        <f t="shared" si="1"/>
        <v>4.2028613352898017</v>
      </c>
      <c r="V14" s="171">
        <f t="shared" si="2"/>
        <v>105.07153338224504</v>
      </c>
      <c r="W14" s="172">
        <f t="shared" si="3"/>
        <v>1160.071533382245</v>
      </c>
    </row>
    <row r="15" spans="1:23" x14ac:dyDescent="0.25">
      <c r="N15" s="47" t="s">
        <v>24</v>
      </c>
      <c r="O15" s="175" t="s">
        <v>1</v>
      </c>
      <c r="P15" s="175">
        <v>10</v>
      </c>
      <c r="Q15" s="217">
        <v>6</v>
      </c>
      <c r="R15" s="218">
        <v>6</v>
      </c>
      <c r="S15" s="167" t="s">
        <v>367</v>
      </c>
      <c r="T15" s="170">
        <f t="shared" si="0"/>
        <v>1266</v>
      </c>
      <c r="U15" s="171">
        <f t="shared" si="1"/>
        <v>4.2028613352898017</v>
      </c>
      <c r="V15" s="171">
        <f t="shared" si="2"/>
        <v>42.02861335289802</v>
      </c>
      <c r="W15" s="172">
        <f t="shared" si="3"/>
        <v>1308.028613352898</v>
      </c>
    </row>
    <row r="16" spans="1:23" x14ac:dyDescent="0.25">
      <c r="N16" s="219" t="s">
        <v>25</v>
      </c>
      <c r="O16" s="175" t="s">
        <v>11</v>
      </c>
      <c r="P16" s="175">
        <v>0</v>
      </c>
      <c r="Q16" s="217">
        <v>3.5</v>
      </c>
      <c r="R16" s="218">
        <v>4.3</v>
      </c>
      <c r="S16" s="167" t="s">
        <v>227</v>
      </c>
      <c r="T16" s="170">
        <f t="shared" ref="T16" si="4">($Q$6*Q16)+$R$6*R16</f>
        <v>850.5</v>
      </c>
      <c r="U16" s="171">
        <f t="shared" si="1"/>
        <v>4.2028613352898017</v>
      </c>
      <c r="V16" s="171">
        <f t="shared" ref="V16" si="5">P16*U16</f>
        <v>0</v>
      </c>
      <c r="W16" s="172">
        <f t="shared" ref="W16" si="6">T16+V16</f>
        <v>850.5</v>
      </c>
    </row>
    <row r="17" spans="1:23" ht="16.5" thickBot="1" x14ac:dyDescent="0.3">
      <c r="A17" s="177" t="s">
        <v>324</v>
      </c>
      <c r="B17" s="220"/>
      <c r="C17" s="220"/>
      <c r="F17" s="37"/>
      <c r="N17" s="181" t="s">
        <v>26</v>
      </c>
      <c r="O17" s="182" t="s">
        <v>15</v>
      </c>
      <c r="P17" s="182" t="s">
        <v>34</v>
      </c>
      <c r="Q17" s="183" t="s">
        <v>34</v>
      </c>
      <c r="R17" s="221" t="s">
        <v>34</v>
      </c>
      <c r="S17" s="167"/>
      <c r="T17" s="170"/>
      <c r="U17" s="170"/>
      <c r="V17" s="171"/>
      <c r="W17" s="172"/>
    </row>
    <row r="18" spans="1:23" ht="15.75" thickTop="1" x14ac:dyDescent="0.25">
      <c r="A18" s="220"/>
      <c r="B18" s="220"/>
      <c r="C18" s="220"/>
    </row>
    <row r="19" spans="1:23" x14ac:dyDescent="0.25">
      <c r="A19" s="185" t="s">
        <v>37</v>
      </c>
      <c r="B19" s="185" t="s">
        <v>229</v>
      </c>
      <c r="C19" s="185" t="s">
        <v>325</v>
      </c>
      <c r="D19" s="185" t="s">
        <v>326</v>
      </c>
      <c r="E19" s="222"/>
      <c r="F19" s="222"/>
    </row>
    <row r="20" spans="1:23" ht="15.75" x14ac:dyDescent="0.25">
      <c r="A20" s="223" t="s">
        <v>327</v>
      </c>
      <c r="B20" s="224" t="s">
        <v>328</v>
      </c>
      <c r="C20" s="152" t="s">
        <v>281</v>
      </c>
      <c r="D20" s="152" t="s">
        <v>281</v>
      </c>
      <c r="E20" s="220"/>
      <c r="F20" s="225" t="s">
        <v>329</v>
      </c>
      <c r="G20" s="225"/>
    </row>
    <row r="21" spans="1:23" x14ac:dyDescent="0.25">
      <c r="A21" s="223" t="s">
        <v>330</v>
      </c>
      <c r="B21" s="224" t="s">
        <v>328</v>
      </c>
      <c r="C21" s="152" t="s">
        <v>331</v>
      </c>
      <c r="D21" s="152" t="s">
        <v>331</v>
      </c>
      <c r="E21" s="220"/>
      <c r="F21" s="222"/>
      <c r="G21" s="222"/>
    </row>
    <row r="22" spans="1:23" x14ac:dyDescent="0.25">
      <c r="A22" s="223" t="s">
        <v>332</v>
      </c>
      <c r="B22" s="224" t="s">
        <v>333</v>
      </c>
      <c r="C22" s="152" t="s">
        <v>334</v>
      </c>
      <c r="D22" s="152" t="s">
        <v>334</v>
      </c>
      <c r="E22" s="222"/>
      <c r="F22" s="222"/>
      <c r="G22" s="222"/>
    </row>
    <row r="23" spans="1:23" ht="15.75" x14ac:dyDescent="0.25">
      <c r="A23" s="223" t="s">
        <v>335</v>
      </c>
      <c r="B23" s="224" t="s">
        <v>328</v>
      </c>
      <c r="C23" s="152" t="s">
        <v>331</v>
      </c>
      <c r="D23" s="152" t="s">
        <v>331</v>
      </c>
      <c r="E23" s="177" t="s">
        <v>336</v>
      </c>
      <c r="F23" s="224" t="s">
        <v>337</v>
      </c>
      <c r="G23" s="224">
        <v>17</v>
      </c>
    </row>
    <row r="24" spans="1:23" x14ac:dyDescent="0.25">
      <c r="A24" s="223" t="s">
        <v>338</v>
      </c>
      <c r="B24" s="224" t="s">
        <v>333</v>
      </c>
      <c r="C24" s="152" t="s">
        <v>281</v>
      </c>
      <c r="D24" s="152" t="s">
        <v>339</v>
      </c>
      <c r="E24" s="220"/>
      <c r="F24" s="224" t="s">
        <v>340</v>
      </c>
      <c r="G24" s="226">
        <f>(1000*150)/(PI()*18)</f>
        <v>2652.5823848649225</v>
      </c>
    </row>
    <row r="25" spans="1:23" x14ac:dyDescent="0.25">
      <c r="A25" s="223" t="s">
        <v>341</v>
      </c>
      <c r="B25" s="224" t="s">
        <v>328</v>
      </c>
      <c r="C25" s="152" t="s">
        <v>342</v>
      </c>
      <c r="D25" s="152" t="s">
        <v>342</v>
      </c>
      <c r="E25" s="227" t="s">
        <v>343</v>
      </c>
      <c r="F25" s="224" t="s">
        <v>344</v>
      </c>
      <c r="G25" s="226">
        <f>0.15*G24</f>
        <v>397.88735772973837</v>
      </c>
    </row>
    <row r="26" spans="1:23" x14ac:dyDescent="0.25">
      <c r="A26" s="223" t="s">
        <v>345</v>
      </c>
      <c r="B26" s="224" t="s">
        <v>346</v>
      </c>
      <c r="C26" s="152" t="s">
        <v>347</v>
      </c>
      <c r="D26" s="152" t="s">
        <v>347</v>
      </c>
      <c r="E26" s="228" t="s">
        <v>348</v>
      </c>
      <c r="F26" s="224" t="s">
        <v>349</v>
      </c>
      <c r="G26" s="229">
        <f>G23/G25*60</f>
        <v>2.5635396053292712</v>
      </c>
    </row>
    <row r="27" spans="1:23" x14ac:dyDescent="0.25">
      <c r="A27" s="223" t="s">
        <v>350</v>
      </c>
      <c r="B27" s="224" t="s">
        <v>328</v>
      </c>
      <c r="C27" s="152" t="s">
        <v>281</v>
      </c>
      <c r="D27" s="152" t="s">
        <v>281</v>
      </c>
      <c r="E27" s="220"/>
      <c r="F27" s="220"/>
    </row>
    <row r="29" spans="1:23" x14ac:dyDescent="0.25">
      <c r="B29" s="224" t="s">
        <v>260</v>
      </c>
      <c r="C29" s="224"/>
      <c r="D29" s="224"/>
    </row>
    <row r="30" spans="1:23" ht="15.75" x14ac:dyDescent="0.25">
      <c r="B30" s="224" t="s">
        <v>263</v>
      </c>
      <c r="C30" s="224">
        <v>156.80000000000001</v>
      </c>
      <c r="D30" s="224">
        <v>166.8</v>
      </c>
      <c r="G30" s="220"/>
      <c r="H30" s="230" t="s">
        <v>351</v>
      </c>
      <c r="I30" s="230"/>
      <c r="J30" s="230"/>
      <c r="K30" s="220"/>
      <c r="L30" s="220"/>
    </row>
    <row r="31" spans="1:23" x14ac:dyDescent="0.25">
      <c r="B31" s="224" t="s">
        <v>266</v>
      </c>
      <c r="C31" s="229">
        <f>C30/36</f>
        <v>4.3555555555555561</v>
      </c>
      <c r="D31" s="229">
        <f>D30/36</f>
        <v>4.6333333333333337</v>
      </c>
      <c r="F31" s="220"/>
      <c r="G31" s="220"/>
      <c r="H31" s="220"/>
      <c r="I31" s="220"/>
      <c r="J31" s="220"/>
      <c r="K31" s="220"/>
      <c r="L31" s="220"/>
    </row>
    <row r="32" spans="1:23" x14ac:dyDescent="0.25">
      <c r="F32" s="224" t="s">
        <v>352</v>
      </c>
      <c r="G32" s="224" t="s">
        <v>353</v>
      </c>
      <c r="H32" s="224" t="s">
        <v>248</v>
      </c>
      <c r="I32" s="224" t="s">
        <v>258</v>
      </c>
      <c r="J32" s="224" t="s">
        <v>245</v>
      </c>
      <c r="K32" s="224" t="s">
        <v>354</v>
      </c>
      <c r="L32" s="224" t="s">
        <v>355</v>
      </c>
    </row>
    <row r="33" spans="3:12" x14ac:dyDescent="0.25">
      <c r="F33" s="224">
        <v>1</v>
      </c>
      <c r="G33" s="224">
        <v>16.5</v>
      </c>
      <c r="H33" s="224">
        <v>2893</v>
      </c>
      <c r="I33" s="224">
        <v>433</v>
      </c>
      <c r="J33" s="224">
        <v>45</v>
      </c>
      <c r="K33" s="231">
        <f>J33/I33</f>
        <v>0.10392609699769054</v>
      </c>
      <c r="L33" s="229">
        <f>K33*60</f>
        <v>6.2355658198614323</v>
      </c>
    </row>
    <row r="34" spans="3:12" x14ac:dyDescent="0.25">
      <c r="F34" s="224">
        <v>2</v>
      </c>
      <c r="G34" s="224">
        <v>16</v>
      </c>
      <c r="H34" s="224">
        <v>2984</v>
      </c>
      <c r="I34" s="224">
        <v>447</v>
      </c>
      <c r="J34" s="224">
        <v>45</v>
      </c>
      <c r="K34" s="231">
        <f t="shared" ref="K34:K36" si="7">J34/I34</f>
        <v>0.10067114093959731</v>
      </c>
      <c r="L34" s="229">
        <f t="shared" ref="L34:L36" si="8">K34*60</f>
        <v>6.0402684563758386</v>
      </c>
    </row>
    <row r="35" spans="3:12" x14ac:dyDescent="0.25">
      <c r="F35" s="224">
        <v>3</v>
      </c>
      <c r="G35" s="224">
        <v>15.5</v>
      </c>
      <c r="H35" s="224">
        <v>3080</v>
      </c>
      <c r="I35" s="224">
        <v>462</v>
      </c>
      <c r="J35" s="224">
        <v>45</v>
      </c>
      <c r="K35" s="231">
        <f t="shared" si="7"/>
        <v>9.7402597402597407E-2</v>
      </c>
      <c r="L35" s="229">
        <f t="shared" si="8"/>
        <v>5.8441558441558445</v>
      </c>
    </row>
    <row r="36" spans="3:12" x14ac:dyDescent="0.25">
      <c r="F36" s="224" t="s">
        <v>356</v>
      </c>
      <c r="G36" s="224">
        <v>15</v>
      </c>
      <c r="H36" s="224">
        <v>2546</v>
      </c>
      <c r="I36" s="224">
        <v>381</v>
      </c>
      <c r="J36" s="224">
        <v>45</v>
      </c>
      <c r="K36" s="231">
        <f t="shared" si="7"/>
        <v>0.11811023622047244</v>
      </c>
      <c r="L36" s="229">
        <f t="shared" si="8"/>
        <v>7.0866141732283463</v>
      </c>
    </row>
    <row r="37" spans="3:12" x14ac:dyDescent="0.25">
      <c r="F37" s="224"/>
      <c r="G37" s="224"/>
      <c r="H37" s="224"/>
      <c r="I37" s="224"/>
      <c r="J37" s="224"/>
      <c r="K37" s="231"/>
      <c r="L37" s="229">
        <f>SUM(L33:L36)</f>
        <v>25.20660429362146</v>
      </c>
    </row>
    <row r="39" spans="3:12" x14ac:dyDescent="0.25">
      <c r="E39" s="351" t="s">
        <v>357</v>
      </c>
      <c r="F39" s="351"/>
      <c r="G39" s="351"/>
      <c r="H39" s="232"/>
    </row>
    <row r="41" spans="3:12" ht="15.75" x14ac:dyDescent="0.25">
      <c r="C41" s="177" t="s">
        <v>228</v>
      </c>
      <c r="D41" s="220"/>
      <c r="E41" s="220"/>
    </row>
    <row r="42" spans="3:12" x14ac:dyDescent="0.25">
      <c r="C42" s="220"/>
      <c r="D42" s="220"/>
      <c r="E42" s="220"/>
    </row>
    <row r="43" spans="3:12" x14ac:dyDescent="0.25">
      <c r="C43" s="185" t="s">
        <v>37</v>
      </c>
      <c r="D43" s="185" t="s">
        <v>229</v>
      </c>
      <c r="E43" s="185" t="s">
        <v>230</v>
      </c>
    </row>
    <row r="44" spans="3:12" x14ac:dyDescent="0.25">
      <c r="C44" s="223" t="s">
        <v>327</v>
      </c>
      <c r="D44" s="224" t="s">
        <v>328</v>
      </c>
      <c r="E44" s="224" t="s">
        <v>281</v>
      </c>
    </row>
    <row r="45" spans="3:12" ht="15.75" x14ac:dyDescent="0.25">
      <c r="C45" s="223" t="s">
        <v>341</v>
      </c>
      <c r="D45" s="224" t="s">
        <v>328</v>
      </c>
      <c r="E45" s="224" t="s">
        <v>342</v>
      </c>
      <c r="F45" s="177" t="s">
        <v>358</v>
      </c>
      <c r="G45" s="224" t="s">
        <v>337</v>
      </c>
      <c r="H45" s="224">
        <v>17</v>
      </c>
    </row>
    <row r="46" spans="3:12" x14ac:dyDescent="0.25">
      <c r="C46" s="223" t="s">
        <v>359</v>
      </c>
      <c r="D46" s="224" t="s">
        <v>346</v>
      </c>
      <c r="E46" s="224" t="s">
        <v>360</v>
      </c>
      <c r="F46" s="220"/>
      <c r="G46" s="224" t="s">
        <v>340</v>
      </c>
      <c r="H46" s="224">
        <v>2652</v>
      </c>
    </row>
    <row r="47" spans="3:12" x14ac:dyDescent="0.25">
      <c r="C47" s="223" t="s">
        <v>350</v>
      </c>
      <c r="D47" s="224" t="s">
        <v>328</v>
      </c>
      <c r="E47" s="224" t="s">
        <v>281</v>
      </c>
      <c r="F47" s="227" t="s">
        <v>343</v>
      </c>
      <c r="G47" s="224" t="s">
        <v>344</v>
      </c>
      <c r="H47" s="224">
        <v>397</v>
      </c>
    </row>
    <row r="48" spans="3:12" x14ac:dyDescent="0.25">
      <c r="C48" s="220"/>
      <c r="D48" s="220"/>
      <c r="E48" s="220"/>
      <c r="F48" s="228" t="s">
        <v>348</v>
      </c>
      <c r="G48" s="224" t="s">
        <v>349</v>
      </c>
      <c r="H48" s="229">
        <f>(H45/H47)*60</f>
        <v>2.5692695214105794</v>
      </c>
    </row>
    <row r="49" spans="3:5" x14ac:dyDescent="0.25">
      <c r="C49" s="220"/>
      <c r="D49" s="224" t="s">
        <v>260</v>
      </c>
      <c r="E49" s="224"/>
    </row>
    <row r="50" spans="3:5" x14ac:dyDescent="0.25">
      <c r="C50" s="220"/>
      <c r="D50" s="224" t="s">
        <v>263</v>
      </c>
      <c r="E50" s="224">
        <v>63.6</v>
      </c>
    </row>
    <row r="51" spans="3:5" x14ac:dyDescent="0.25">
      <c r="C51" s="220"/>
      <c r="D51" s="224" t="s">
        <v>266</v>
      </c>
      <c r="E51" s="231">
        <f>E50/36</f>
        <v>1.7666666666666666</v>
      </c>
    </row>
    <row r="55" spans="3:5" ht="15.75" x14ac:dyDescent="0.25">
      <c r="C55" s="177" t="s">
        <v>361</v>
      </c>
    </row>
    <row r="57" spans="3:5" x14ac:dyDescent="0.25">
      <c r="C57" s="152" t="s">
        <v>298</v>
      </c>
      <c r="D57" s="152" t="s">
        <v>362</v>
      </c>
      <c r="E57" s="152" t="s">
        <v>363</v>
      </c>
    </row>
    <row r="58" spans="3:5" x14ac:dyDescent="0.25">
      <c r="C58" s="152" t="s">
        <v>300</v>
      </c>
      <c r="D58" s="152" t="s">
        <v>301</v>
      </c>
      <c r="E58" s="152" t="s">
        <v>301</v>
      </c>
    </row>
    <row r="59" spans="3:5" x14ac:dyDescent="0.25">
      <c r="C59" s="152" t="s">
        <v>302</v>
      </c>
      <c r="D59" s="152">
        <v>57</v>
      </c>
      <c r="E59" s="152">
        <v>47</v>
      </c>
    </row>
    <row r="60" spans="3:5" x14ac:dyDescent="0.25">
      <c r="C60" s="152" t="s">
        <v>260</v>
      </c>
      <c r="D60" s="199">
        <f>200/D59</f>
        <v>3.5087719298245612</v>
      </c>
      <c r="E60" s="199">
        <f>200/E59</f>
        <v>4.2553191489361701</v>
      </c>
    </row>
  </sheetData>
  <mergeCells count="7">
    <mergeCell ref="E39:G39"/>
    <mergeCell ref="A1:C1"/>
    <mergeCell ref="A14:E14"/>
    <mergeCell ref="N5:P5"/>
    <mergeCell ref="N6:P6"/>
    <mergeCell ref="N7:P7"/>
    <mergeCell ref="N8:P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1"/>
  <sheetViews>
    <sheetView showGridLines="0" zoomScaleNormal="100" workbookViewId="0">
      <selection activeCell="J15" sqref="J15"/>
    </sheetView>
  </sheetViews>
  <sheetFormatPr baseColWidth="10" defaultRowHeight="15" x14ac:dyDescent="0.25"/>
  <cols>
    <col min="1" max="1" width="26.7109375" customWidth="1"/>
    <col min="2" max="2" width="6.42578125" bestFit="1" customWidth="1"/>
    <col min="3" max="3" width="32.85546875" bestFit="1" customWidth="1"/>
    <col min="4" max="4" width="15.85546875" bestFit="1" customWidth="1"/>
    <col min="5" max="5" width="9.85546875" bestFit="1" customWidth="1"/>
    <col min="10" max="10" width="5.7109375" bestFit="1" customWidth="1"/>
    <col min="11" max="11" width="6.42578125" bestFit="1" customWidth="1"/>
    <col min="12" max="12" width="9.42578125" bestFit="1" customWidth="1"/>
    <col min="13" max="13" width="6.7109375" bestFit="1" customWidth="1"/>
    <col min="14" max="14" width="6.5703125" bestFit="1" customWidth="1"/>
    <col min="15" max="15" width="14" bestFit="1" customWidth="1"/>
    <col min="16" max="16" width="19.85546875" bestFit="1" customWidth="1"/>
    <col min="17" max="17" width="37.28515625" bestFit="1" customWidth="1"/>
    <col min="18" max="18" width="34.7109375" bestFit="1" customWidth="1"/>
    <col min="19" max="19" width="15.42578125" bestFit="1" customWidth="1"/>
  </cols>
  <sheetData>
    <row r="1" spans="1:19" ht="42" x14ac:dyDescent="0.25">
      <c r="A1" s="318" t="s">
        <v>78</v>
      </c>
      <c r="B1" s="319"/>
      <c r="C1" s="320"/>
      <c r="D1" s="11" t="s">
        <v>12</v>
      </c>
      <c r="E1" s="18" t="s">
        <v>33</v>
      </c>
    </row>
    <row r="2" spans="1:19" x14ac:dyDescent="0.25">
      <c r="A2" s="12" t="s">
        <v>39</v>
      </c>
      <c r="B2" s="17">
        <v>71</v>
      </c>
      <c r="C2" s="7"/>
      <c r="D2" s="7"/>
      <c r="E2" s="8"/>
    </row>
    <row r="3" spans="1:19" x14ac:dyDescent="0.25">
      <c r="A3" s="2" t="s">
        <v>38</v>
      </c>
      <c r="B3" s="40">
        <v>36</v>
      </c>
      <c r="C3" s="7"/>
      <c r="D3" s="7"/>
      <c r="E3" s="8"/>
    </row>
    <row r="4" spans="1:19" ht="15.75" thickBot="1" x14ac:dyDescent="0.3">
      <c r="A4" s="3" t="s">
        <v>16</v>
      </c>
      <c r="B4" s="41">
        <v>36</v>
      </c>
      <c r="C4" s="9"/>
      <c r="D4" s="9"/>
      <c r="E4" s="10"/>
    </row>
    <row r="5" spans="1:19" ht="90" customHeight="1" x14ac:dyDescent="0.25">
      <c r="A5" s="1"/>
      <c r="B5" s="22" t="s">
        <v>17</v>
      </c>
      <c r="C5" s="22" t="s">
        <v>37</v>
      </c>
      <c r="D5" s="19" t="s">
        <v>18</v>
      </c>
      <c r="E5" s="20" t="s">
        <v>50</v>
      </c>
    </row>
    <row r="6" spans="1:19" ht="30.75" thickBot="1" x14ac:dyDescent="0.3">
      <c r="A6" s="21" t="s">
        <v>19</v>
      </c>
      <c r="B6" s="13" t="s">
        <v>15</v>
      </c>
      <c r="C6" s="30" t="s">
        <v>64</v>
      </c>
      <c r="D6" s="5" t="s">
        <v>34</v>
      </c>
      <c r="E6" s="6" t="s">
        <v>34</v>
      </c>
    </row>
    <row r="7" spans="1:19" ht="30" x14ac:dyDescent="0.35">
      <c r="A7" s="21" t="s">
        <v>20</v>
      </c>
      <c r="B7" s="13" t="s">
        <v>0</v>
      </c>
      <c r="C7" s="30" t="s">
        <v>65</v>
      </c>
      <c r="D7" s="5">
        <v>0</v>
      </c>
      <c r="E7" s="6">
        <v>25</v>
      </c>
      <c r="J7" s="358" t="s">
        <v>217</v>
      </c>
      <c r="K7" s="359"/>
      <c r="L7" s="360"/>
      <c r="M7" s="233" t="s">
        <v>369</v>
      </c>
      <c r="N7" s="157" t="s">
        <v>370</v>
      </c>
    </row>
    <row r="8" spans="1:19" ht="30.75" thickBot="1" x14ac:dyDescent="0.3">
      <c r="A8" s="24" t="s">
        <v>21</v>
      </c>
      <c r="B8" s="25" t="s">
        <v>27</v>
      </c>
      <c r="C8" s="31" t="s">
        <v>66</v>
      </c>
      <c r="D8" s="27" t="s">
        <v>34</v>
      </c>
      <c r="E8" s="28" t="s">
        <v>34</v>
      </c>
      <c r="J8" s="361" t="s">
        <v>39</v>
      </c>
      <c r="K8" s="362"/>
      <c r="L8" s="363"/>
      <c r="M8" s="234">
        <v>71</v>
      </c>
      <c r="N8" s="159">
        <v>140</v>
      </c>
    </row>
    <row r="9" spans="1:19" x14ac:dyDescent="0.25">
      <c r="J9" s="361" t="s">
        <v>38</v>
      </c>
      <c r="K9" s="362"/>
      <c r="L9" s="363"/>
      <c r="M9" s="234">
        <v>36</v>
      </c>
      <c r="N9" s="159">
        <v>70</v>
      </c>
    </row>
    <row r="10" spans="1:19" ht="15.75" thickBot="1" x14ac:dyDescent="0.3">
      <c r="J10" s="364" t="s">
        <v>16</v>
      </c>
      <c r="K10" s="365"/>
      <c r="L10" s="366"/>
      <c r="M10" s="235">
        <v>36</v>
      </c>
      <c r="N10" s="160">
        <v>70</v>
      </c>
    </row>
    <row r="11" spans="1:19" ht="78" thickTop="1" x14ac:dyDescent="0.25">
      <c r="A11" s="318" t="s">
        <v>79</v>
      </c>
      <c r="B11" s="319"/>
      <c r="C11" s="320"/>
      <c r="D11" s="11" t="s">
        <v>12</v>
      </c>
      <c r="E11" s="18" t="s">
        <v>33</v>
      </c>
      <c r="J11" s="162"/>
      <c r="K11" s="163" t="s">
        <v>17</v>
      </c>
      <c r="L11" s="164" t="s">
        <v>18</v>
      </c>
      <c r="M11" s="210" t="s">
        <v>218</v>
      </c>
      <c r="N11" s="165" t="s">
        <v>218</v>
      </c>
    </row>
    <row r="12" spans="1:19" x14ac:dyDescent="0.25">
      <c r="A12" s="12" t="s">
        <v>39</v>
      </c>
      <c r="B12" s="17">
        <v>140</v>
      </c>
      <c r="C12" s="7"/>
      <c r="D12" s="7"/>
      <c r="E12" s="8"/>
      <c r="J12" s="166" t="s">
        <v>19</v>
      </c>
      <c r="K12" s="152" t="s">
        <v>15</v>
      </c>
      <c r="L12" s="5" t="s">
        <v>34</v>
      </c>
      <c r="M12" s="214" t="s">
        <v>34</v>
      </c>
      <c r="N12" s="6" t="s">
        <v>34</v>
      </c>
      <c r="O12" s="167"/>
      <c r="P12" s="117" t="s">
        <v>219</v>
      </c>
      <c r="Q12" s="117" t="s">
        <v>220</v>
      </c>
      <c r="R12" s="117" t="s">
        <v>221</v>
      </c>
      <c r="S12" s="168" t="s">
        <v>371</v>
      </c>
    </row>
    <row r="13" spans="1:19" x14ac:dyDescent="0.25">
      <c r="A13" s="2" t="s">
        <v>38</v>
      </c>
      <c r="B13" s="40">
        <v>70</v>
      </c>
      <c r="C13" s="7"/>
      <c r="D13" s="7"/>
      <c r="E13" s="8"/>
      <c r="J13" s="166" t="s">
        <v>20</v>
      </c>
      <c r="K13" s="152" t="s">
        <v>0</v>
      </c>
      <c r="L13" s="152">
        <v>0</v>
      </c>
      <c r="M13" s="216">
        <v>25</v>
      </c>
      <c r="N13" s="173">
        <v>25</v>
      </c>
      <c r="O13" s="236" t="s">
        <v>372</v>
      </c>
      <c r="P13" s="175">
        <f>$N$8*N13+$M$8*M13</f>
        <v>5275</v>
      </c>
      <c r="Q13" s="237">
        <f>$N$8/$N$10+M8/M10</f>
        <v>3.9722222222222223</v>
      </c>
      <c r="R13" s="238">
        <f>Q13*L13</f>
        <v>0</v>
      </c>
      <c r="S13" s="239">
        <f>P13+R13</f>
        <v>5275</v>
      </c>
    </row>
    <row r="14" spans="1:19" ht="15.75" thickBot="1" x14ac:dyDescent="0.3">
      <c r="A14" s="3" t="s">
        <v>16</v>
      </c>
      <c r="B14" s="41">
        <v>70</v>
      </c>
      <c r="C14" s="9"/>
      <c r="D14" s="9"/>
      <c r="E14" s="10"/>
      <c r="J14" s="178" t="s">
        <v>21</v>
      </c>
      <c r="K14" s="179" t="s">
        <v>27</v>
      </c>
      <c r="L14" s="179" t="s">
        <v>34</v>
      </c>
      <c r="M14" s="240" t="s">
        <v>34</v>
      </c>
      <c r="N14" s="180" t="s">
        <v>34</v>
      </c>
      <c r="O14" s="241"/>
      <c r="P14" s="194"/>
      <c r="Q14" s="242"/>
      <c r="R14" s="243"/>
      <c r="S14" s="243"/>
    </row>
    <row r="15" spans="1:19" ht="54" x14ac:dyDescent="0.25">
      <c r="A15" s="1"/>
      <c r="B15" s="22" t="s">
        <v>17</v>
      </c>
      <c r="C15" s="22" t="s">
        <v>37</v>
      </c>
      <c r="D15" s="19" t="s">
        <v>18</v>
      </c>
      <c r="E15" s="20" t="s">
        <v>50</v>
      </c>
    </row>
    <row r="16" spans="1:19" ht="30" x14ac:dyDescent="0.25">
      <c r="A16" s="21" t="s">
        <v>19</v>
      </c>
      <c r="B16" s="13" t="s">
        <v>15</v>
      </c>
      <c r="C16" s="30" t="s">
        <v>64</v>
      </c>
      <c r="D16" s="5" t="s">
        <v>34</v>
      </c>
      <c r="E16" s="6" t="s">
        <v>34</v>
      </c>
    </row>
    <row r="17" spans="1:5" ht="30" x14ac:dyDescent="0.25">
      <c r="A17" s="21" t="s">
        <v>20</v>
      </c>
      <c r="B17" s="13" t="s">
        <v>0</v>
      </c>
      <c r="C17" s="30" t="s">
        <v>65</v>
      </c>
      <c r="D17" s="5">
        <v>0</v>
      </c>
      <c r="E17" s="6">
        <v>25</v>
      </c>
    </row>
    <row r="18" spans="1:5" ht="30.75" thickBot="1" x14ac:dyDescent="0.3">
      <c r="A18" s="24" t="s">
        <v>21</v>
      </c>
      <c r="B18" s="25" t="s">
        <v>27</v>
      </c>
      <c r="C18" s="31" t="s">
        <v>66</v>
      </c>
      <c r="D18" s="27" t="s">
        <v>34</v>
      </c>
      <c r="E18" s="28" t="s">
        <v>34</v>
      </c>
    </row>
    <row r="21" spans="1:5" ht="23.25" x14ac:dyDescent="0.35">
      <c r="A21" s="321"/>
      <c r="B21" s="322"/>
      <c r="C21" s="322"/>
      <c r="D21" s="322"/>
      <c r="E21" s="322"/>
    </row>
  </sheetData>
  <mergeCells count="7">
    <mergeCell ref="A1:C1"/>
    <mergeCell ref="A21:E21"/>
    <mergeCell ref="A11:C11"/>
    <mergeCell ref="J7:L7"/>
    <mergeCell ref="J8:L8"/>
    <mergeCell ref="J9:L9"/>
    <mergeCell ref="J10:L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6"/>
  <sheetViews>
    <sheetView topLeftCell="A2" zoomScale="55" zoomScaleNormal="55" workbookViewId="0">
      <selection activeCell="N16" sqref="N16"/>
    </sheetView>
  </sheetViews>
  <sheetFormatPr baseColWidth="10" defaultRowHeight="15" x14ac:dyDescent="0.25"/>
  <cols>
    <col min="1" max="1" width="25.7109375" customWidth="1"/>
    <col min="2" max="2" width="12.7109375" customWidth="1"/>
    <col min="3" max="3" width="60.7109375" customWidth="1"/>
    <col min="4" max="5" width="15.7109375" customWidth="1"/>
    <col min="9" max="9" width="19.140625" customWidth="1"/>
    <col min="10" max="10" width="18.5703125" customWidth="1"/>
    <col min="11" max="11" width="18.140625" customWidth="1"/>
    <col min="12" max="12" width="21.85546875" customWidth="1"/>
    <col min="13" max="13" width="16.42578125" customWidth="1"/>
    <col min="14" max="14" width="17.28515625" customWidth="1"/>
    <col min="15" max="15" width="21.42578125" customWidth="1"/>
    <col min="16" max="16" width="12.7109375" customWidth="1"/>
    <col min="17" max="17" width="21" customWidth="1"/>
    <col min="18" max="18" width="20" customWidth="1"/>
    <col min="19" max="19" width="19.140625" customWidth="1"/>
    <col min="20" max="20" width="21.28515625" customWidth="1"/>
    <col min="21" max="21" width="19.7109375" customWidth="1"/>
  </cols>
  <sheetData>
    <row r="1" spans="1:15" ht="42" x14ac:dyDescent="0.25">
      <c r="A1" s="318" t="s">
        <v>43</v>
      </c>
      <c r="B1" s="319"/>
      <c r="C1" s="320"/>
      <c r="D1" s="11" t="s">
        <v>12</v>
      </c>
      <c r="E1" s="18" t="s">
        <v>36</v>
      </c>
    </row>
    <row r="2" spans="1:15" x14ac:dyDescent="0.25">
      <c r="A2" s="12" t="s">
        <v>39</v>
      </c>
      <c r="B2" s="39">
        <f>2*B3</f>
        <v>60</v>
      </c>
      <c r="C2" s="7"/>
      <c r="D2" s="7"/>
      <c r="E2" s="8"/>
    </row>
    <row r="3" spans="1:15" x14ac:dyDescent="0.25">
      <c r="A3" s="158" t="s">
        <v>38</v>
      </c>
      <c r="B3" s="39">
        <v>30</v>
      </c>
      <c r="C3" s="7"/>
      <c r="D3" s="7"/>
      <c r="E3" s="8"/>
    </row>
    <row r="4" spans="1:15" ht="15.75" thickBot="1" x14ac:dyDescent="0.3">
      <c r="A4" s="3" t="s">
        <v>16</v>
      </c>
      <c r="B4" s="39">
        <v>30</v>
      </c>
      <c r="C4" s="9"/>
      <c r="D4" s="9"/>
      <c r="E4" s="10"/>
    </row>
    <row r="5" spans="1:15" ht="90" customHeight="1" x14ac:dyDescent="0.25">
      <c r="A5" s="1"/>
      <c r="B5" s="22" t="s">
        <v>17</v>
      </c>
      <c r="C5" s="22" t="s">
        <v>37</v>
      </c>
      <c r="D5" s="19" t="s">
        <v>18</v>
      </c>
      <c r="E5" s="20" t="s">
        <v>50</v>
      </c>
    </row>
    <row r="6" spans="1:15" ht="30" x14ac:dyDescent="0.25">
      <c r="A6" s="21" t="s">
        <v>19</v>
      </c>
      <c r="B6" s="13" t="s">
        <v>14</v>
      </c>
      <c r="C6" s="30" t="s">
        <v>62</v>
      </c>
      <c r="D6" s="5" t="s">
        <v>34</v>
      </c>
      <c r="E6" s="6" t="s">
        <v>34</v>
      </c>
    </row>
    <row r="7" spans="1:15" ht="30" x14ac:dyDescent="0.25">
      <c r="A7" s="21" t="s">
        <v>20</v>
      </c>
      <c r="B7" s="13" t="s">
        <v>2</v>
      </c>
      <c r="C7" s="30" t="s">
        <v>70</v>
      </c>
      <c r="D7" s="5">
        <v>25</v>
      </c>
      <c r="E7" s="16">
        <v>1.3</v>
      </c>
    </row>
    <row r="8" spans="1:15" ht="30.75" thickBot="1" x14ac:dyDescent="0.3">
      <c r="A8" s="24" t="s">
        <v>21</v>
      </c>
      <c r="B8" s="25" t="s">
        <v>35</v>
      </c>
      <c r="C8" s="31" t="s">
        <v>63</v>
      </c>
      <c r="D8" s="27" t="s">
        <v>34</v>
      </c>
      <c r="E8" s="28" t="s">
        <v>34</v>
      </c>
    </row>
    <row r="10" spans="1:15" ht="24" thickBot="1" x14ac:dyDescent="0.4">
      <c r="A10" s="321" t="s">
        <v>404</v>
      </c>
      <c r="B10" s="322"/>
      <c r="C10" s="322"/>
      <c r="D10" s="322"/>
      <c r="E10" s="322"/>
    </row>
    <row r="11" spans="1:15" x14ac:dyDescent="0.25">
      <c r="G11" s="323" t="s">
        <v>132</v>
      </c>
      <c r="H11" s="324"/>
      <c r="I11" s="324"/>
      <c r="J11" s="324"/>
      <c r="K11" s="324"/>
      <c r="L11" s="324"/>
      <c r="M11" s="327" t="s">
        <v>136</v>
      </c>
      <c r="N11" s="324">
        <v>4</v>
      </c>
      <c r="O11" s="316"/>
    </row>
    <row r="12" spans="1:15" ht="15.75" thickBot="1" x14ac:dyDescent="0.3">
      <c r="G12" s="325"/>
      <c r="H12" s="326"/>
      <c r="I12" s="326"/>
      <c r="J12" s="326"/>
      <c r="K12" s="326"/>
      <c r="L12" s="326"/>
      <c r="M12" s="328"/>
      <c r="N12" s="326"/>
      <c r="O12" s="317"/>
    </row>
    <row r="13" spans="1:15" ht="93.75" thickBot="1" x14ac:dyDescent="0.4">
      <c r="G13" s="74"/>
      <c r="H13" s="75" t="s">
        <v>17</v>
      </c>
      <c r="I13" s="56" t="s">
        <v>18</v>
      </c>
      <c r="J13" s="56" t="s">
        <v>135</v>
      </c>
      <c r="K13" s="56" t="s">
        <v>134</v>
      </c>
      <c r="L13" s="56" t="s">
        <v>154</v>
      </c>
      <c r="M13" s="255" t="s">
        <v>191</v>
      </c>
      <c r="N13" s="255" t="s">
        <v>192</v>
      </c>
      <c r="O13" s="256" t="s">
        <v>181</v>
      </c>
    </row>
    <row r="14" spans="1:15" ht="24" thickBot="1" x14ac:dyDescent="0.3">
      <c r="G14" s="69" t="s">
        <v>19</v>
      </c>
      <c r="H14" s="70" t="s">
        <v>14</v>
      </c>
      <c r="I14" s="71" t="s">
        <v>34</v>
      </c>
      <c r="J14" s="71" t="s">
        <v>34</v>
      </c>
      <c r="K14" s="72" t="s">
        <v>34</v>
      </c>
      <c r="L14" s="73" t="s">
        <v>34</v>
      </c>
      <c r="M14" s="257" t="s">
        <v>34</v>
      </c>
      <c r="N14" s="258" t="s">
        <v>34</v>
      </c>
      <c r="O14" s="259" t="s">
        <v>34</v>
      </c>
    </row>
    <row r="15" spans="1:15" ht="24" thickBot="1" x14ac:dyDescent="0.3">
      <c r="G15" s="304" t="s">
        <v>20</v>
      </c>
      <c r="H15" s="305" t="s">
        <v>8</v>
      </c>
      <c r="I15" s="306">
        <v>25</v>
      </c>
      <c r="J15" s="307">
        <f>E7</f>
        <v>1.3</v>
      </c>
      <c r="K15" s="308">
        <f>E7</f>
        <v>1.3</v>
      </c>
      <c r="L15" s="309">
        <f>N11*I15</f>
        <v>100</v>
      </c>
      <c r="M15" s="310">
        <f>J15*$B$2+L15</f>
        <v>178</v>
      </c>
      <c r="N15" s="311">
        <f>K15*B2+L15</f>
        <v>178</v>
      </c>
      <c r="O15" s="312">
        <f>M15+N15</f>
        <v>356</v>
      </c>
    </row>
    <row r="16" spans="1:15" ht="24" thickBot="1" x14ac:dyDescent="0.3">
      <c r="G16" s="313" t="s">
        <v>21</v>
      </c>
      <c r="H16" s="58" t="s">
        <v>15</v>
      </c>
      <c r="I16" s="71" t="s">
        <v>34</v>
      </c>
      <c r="J16" s="71" t="s">
        <v>34</v>
      </c>
      <c r="K16" s="72" t="s">
        <v>34</v>
      </c>
      <c r="L16" s="73" t="s">
        <v>34</v>
      </c>
      <c r="M16" s="314" t="s">
        <v>34</v>
      </c>
      <c r="N16" s="314" t="s">
        <v>34</v>
      </c>
      <c r="O16" s="315" t="s">
        <v>34</v>
      </c>
    </row>
    <row r="19" spans="17:20" ht="31.5" x14ac:dyDescent="0.5">
      <c r="Q19" s="367"/>
      <c r="R19" s="367"/>
      <c r="S19" s="367"/>
      <c r="T19" s="367"/>
    </row>
    <row r="20" spans="17:20" ht="21" x14ac:dyDescent="0.35">
      <c r="Q20" s="116"/>
      <c r="R20" s="116"/>
      <c r="S20" s="116"/>
      <c r="T20" s="116"/>
    </row>
    <row r="21" spans="17:20" ht="21" x14ac:dyDescent="0.35">
      <c r="Q21" s="116"/>
      <c r="R21" s="116"/>
      <c r="S21" s="116"/>
      <c r="T21" s="116"/>
    </row>
    <row r="22" spans="17:20" ht="21" x14ac:dyDescent="0.35">
      <c r="Q22" s="116"/>
      <c r="R22" s="116"/>
      <c r="S22" s="116"/>
      <c r="T22" s="116"/>
    </row>
    <row r="23" spans="17:20" ht="21" x14ac:dyDescent="0.35">
      <c r="Q23" s="116"/>
      <c r="R23" s="116"/>
      <c r="S23" s="116"/>
      <c r="T23" s="116"/>
    </row>
    <row r="24" spans="17:20" ht="21" x14ac:dyDescent="0.35">
      <c r="Q24" s="116"/>
      <c r="R24" s="116"/>
      <c r="S24" s="116"/>
      <c r="T24" s="116"/>
    </row>
    <row r="25" spans="17:20" ht="21" x14ac:dyDescent="0.35">
      <c r="Q25" s="116"/>
      <c r="R25" s="116"/>
      <c r="S25" s="116"/>
      <c r="T25" s="116"/>
    </row>
    <row r="26" spans="17:20" ht="21" x14ac:dyDescent="0.35">
      <c r="Q26" s="116"/>
      <c r="R26" s="116"/>
      <c r="S26" s="116"/>
      <c r="T26" s="116"/>
    </row>
  </sheetData>
  <mergeCells count="7">
    <mergeCell ref="O11:O12"/>
    <mergeCell ref="Q19:T19"/>
    <mergeCell ref="A1:C1"/>
    <mergeCell ref="A10:E10"/>
    <mergeCell ref="G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1-Moyeu</vt:lpstr>
      <vt:lpstr>2-Chappe</vt:lpstr>
      <vt:lpstr>3-Flasque droit</vt:lpstr>
      <vt:lpstr>4-Bras de Manivelle</vt:lpstr>
      <vt:lpstr>5-Entretoise</vt:lpstr>
      <vt:lpstr>6-Entretoise épaulée</vt:lpstr>
      <vt:lpstr>7-Axe manivelle</vt:lpstr>
      <vt:lpstr>9-Treuil</vt:lpstr>
      <vt:lpstr>8-Bande tôle</vt:lpstr>
      <vt:lpstr>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2026-05-21T07:46:10Z</dcterms:modified>
</cp:coreProperties>
</file>